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S:\Climate Change\Woodland Carbon Code\Published Documentation\Validation Documents\WCC Cashflow\V2.2.1\"/>
    </mc:Choice>
  </mc:AlternateContent>
  <workbookProtection workbookAlgorithmName="SHA-512" workbookHashValue="/Qc48loqa3YoAI67c/wruRD/vExW7uujZ/fbxehlhtSn/BYU3YKDVRnD20+VlvpUaRLnoc2Iu77Ers+f3HZGoQ==" workbookSaltValue="7z6D/K12QCxthUhtM8aguQ==" workbookSpinCount="100000" lockStructure="1"/>
  <bookViews>
    <workbookView xWindow="0" yWindow="0" windowWidth="28800" windowHeight="11700"/>
  </bookViews>
  <sheets>
    <sheet name="README and Further Details" sheetId="5" r:id="rId1"/>
    <sheet name="Data Entry" sheetId="10" r:id="rId2"/>
    <sheet name="Cashflow" sheetId="1" r:id="rId3"/>
    <sheet name="Results" sheetId="13" r:id="rId4"/>
    <sheet name="Cost Data" sheetId="8" r:id="rId5"/>
    <sheet name="Income Data" sheetId="9" r:id="rId6"/>
    <sheet name="Income Foregone and BPS data" sheetId="11" r:id="rId7"/>
    <sheet name="Lookup Tables" sheetId="12" state="hidden" r:id="rId8"/>
    <sheet name="Disclaimer" sheetId="6" r:id="rId9"/>
    <sheet name="Version Control" sheetId="7" r:id="rId10"/>
  </sheets>
  <definedNames>
    <definedName name="England">'Lookup Tables'!$B$3:$B$12</definedName>
    <definedName name="Northern_Ireland">'Lookup Tables'!$E$3:$E$8</definedName>
    <definedName name="Scotland">'Lookup Tables'!$C$3:$C$14</definedName>
    <definedName name="Select_Farm_Type">'Lookup Tables'!$A$3</definedName>
    <definedName name="VERSION_1">'Data Entry'!$A$100:$Q$110</definedName>
    <definedName name="VERSION_1_COSTS">'Data Entry'!$L$99:$Q$110</definedName>
    <definedName name="VERSION_2">'Data Entry'!$A$115:$Q$126</definedName>
    <definedName name="VERSION_2_COSTS">'Data Entry'!$L$114:$Q$126</definedName>
    <definedName name="VERSION_3">'Data Entry'!$A$132:$Q$146</definedName>
    <definedName name="VERSION_3_COSTS">'Data Entry'!$L$131:$Q$146</definedName>
    <definedName name="Wales">'Lookup Tables'!$D$3:$D$13</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3" i="12" l="1"/>
  <c r="K3" i="12" s="1"/>
  <c r="J139" i="10"/>
  <c r="J147" i="10" s="1"/>
  <c r="J119" i="10"/>
  <c r="J54" i="1"/>
  <c r="AD54" i="1"/>
  <c r="AT54" i="1"/>
  <c r="BJ54" i="1"/>
  <c r="BZ54" i="1"/>
  <c r="CP54" i="1"/>
  <c r="Y54" i="1"/>
  <c r="BM54" i="1"/>
  <c r="G54" i="1"/>
  <c r="AA54" i="1"/>
  <c r="AQ54" i="1"/>
  <c r="BG54" i="1"/>
  <c r="BW54" i="1"/>
  <c r="CM54" i="1"/>
  <c r="AK54" i="1"/>
  <c r="CO54" i="1"/>
  <c r="X54" i="1"/>
  <c r="AR54" i="1"/>
  <c r="BH54" i="1"/>
  <c r="BX54" i="1"/>
  <c r="CN54" i="1"/>
  <c r="I54" i="1"/>
  <c r="AW54" i="1"/>
  <c r="CS54" i="1"/>
  <c r="AO54" i="1"/>
  <c r="N54" i="1"/>
  <c r="AH54" i="1"/>
  <c r="AX54" i="1"/>
  <c r="BN54" i="1"/>
  <c r="CD54" i="1"/>
  <c r="CT54" i="1"/>
  <c r="AG54" i="1"/>
  <c r="BY54" i="1"/>
  <c r="K54" i="1"/>
  <c r="AE54" i="1"/>
  <c r="AU54" i="1"/>
  <c r="BK54" i="1"/>
  <c r="CA54" i="1"/>
  <c r="CQ54" i="1"/>
  <c r="BE54" i="1"/>
  <c r="L54" i="1"/>
  <c r="AF54" i="1"/>
  <c r="AV54" i="1"/>
  <c r="BL54" i="1"/>
  <c r="CB54" i="1"/>
  <c r="CR54" i="1"/>
  <c r="U54" i="1"/>
  <c r="BI54" i="1"/>
  <c r="F54" i="1"/>
  <c r="AP54" i="1"/>
  <c r="BV54" i="1"/>
  <c r="BA54" i="1"/>
  <c r="S54" i="1"/>
  <c r="AM54" i="1"/>
  <c r="BS54" i="1"/>
  <c r="Q54" i="1"/>
  <c r="T54" i="1"/>
  <c r="BD54" i="1"/>
  <c r="E54" i="1"/>
  <c r="CK54" i="1"/>
  <c r="V54" i="1"/>
  <c r="AL54" i="1"/>
  <c r="BB54" i="1"/>
  <c r="BR54" i="1"/>
  <c r="CH54" i="1"/>
  <c r="CX54" i="1"/>
  <c r="AS54" i="1"/>
  <c r="CG54" i="1"/>
  <c r="O54" i="1"/>
  <c r="AI54" i="1"/>
  <c r="AY54" i="1"/>
  <c r="BO54" i="1"/>
  <c r="CE54" i="1"/>
  <c r="CY54" i="1"/>
  <c r="BQ54" i="1"/>
  <c r="P54" i="1"/>
  <c r="AJ54" i="1"/>
  <c r="AZ54" i="1"/>
  <c r="BP54" i="1"/>
  <c r="CF54" i="1"/>
  <c r="CV54" i="1"/>
  <c r="AC54" i="1"/>
  <c r="BU54" i="1"/>
  <c r="Z54" i="1"/>
  <c r="BF54" i="1"/>
  <c r="CL54" i="1"/>
  <c r="CU54" i="1"/>
  <c r="CW54" i="1"/>
  <c r="BC54" i="1"/>
  <c r="CI54" i="1"/>
  <c r="CC54" i="1"/>
  <c r="AN54" i="1"/>
  <c r="BT54" i="1"/>
  <c r="CJ54" i="1"/>
  <c r="J127" i="10" l="1"/>
  <c r="H152" i="10" l="1"/>
  <c r="B45" i="10"/>
  <c r="C29" i="10" l="1"/>
  <c r="H33" i="1" l="1"/>
  <c r="I33" i="1"/>
  <c r="J33" i="1"/>
  <c r="K33" i="1"/>
  <c r="L33" i="1"/>
  <c r="M33" i="1"/>
  <c r="N33" i="1"/>
  <c r="O33" i="1"/>
  <c r="P33" i="1"/>
  <c r="Q33" i="1"/>
  <c r="R33" i="1"/>
  <c r="S33" i="1"/>
  <c r="T33" i="1"/>
  <c r="V33" i="1"/>
  <c r="X33" i="1"/>
  <c r="Y33" i="1"/>
  <c r="AA33" i="1"/>
  <c r="AC33" i="1"/>
  <c r="AD33" i="1"/>
  <c r="AF33" i="1"/>
  <c r="AI33" i="1"/>
  <c r="AK33" i="1"/>
  <c r="AN33" i="1"/>
  <c r="AS33" i="1"/>
  <c r="AT33" i="1"/>
  <c r="AU33" i="1"/>
  <c r="AX33" i="1"/>
  <c r="AY33" i="1"/>
  <c r="AZ33" i="1"/>
  <c r="BC33" i="1"/>
  <c r="BD33" i="1"/>
  <c r="BE33" i="1"/>
  <c r="BH33" i="1"/>
  <c r="BI33" i="1"/>
  <c r="BJ33" i="1"/>
  <c r="BO33" i="1"/>
  <c r="BR33" i="1"/>
  <c r="BS33" i="1"/>
  <c r="BT33" i="1"/>
  <c r="BW33" i="1"/>
  <c r="BX33" i="1"/>
  <c r="BY33" i="1"/>
  <c r="CF33" i="1"/>
  <c r="CG33" i="1"/>
  <c r="CH33" i="1"/>
  <c r="CI33" i="1"/>
  <c r="CK33" i="1"/>
  <c r="CL33" i="1"/>
  <c r="CM33" i="1"/>
  <c r="CN33" i="1"/>
  <c r="CP33" i="1"/>
  <c r="CQ33" i="1"/>
  <c r="CR33" i="1"/>
  <c r="CU33" i="1"/>
  <c r="CV33" i="1"/>
  <c r="CW33" i="1"/>
  <c r="CX33" i="1"/>
  <c r="B29" i="10"/>
  <c r="B68" i="10" l="1"/>
  <c r="B64" i="10"/>
  <c r="B69" i="10" s="1"/>
  <c r="AQ21" i="1"/>
  <c r="W21" i="1"/>
  <c r="C43" i="8"/>
  <c r="C42" i="8"/>
  <c r="S62" i="10"/>
  <c r="R62" i="10"/>
  <c r="Q62" i="10"/>
  <c r="L62" i="10"/>
  <c r="Z62" i="10" s="1"/>
  <c r="V3" i="12"/>
  <c r="H100" i="10"/>
  <c r="H108" i="10"/>
  <c r="H109" i="10"/>
  <c r="H110" i="10"/>
  <c r="H101" i="10"/>
  <c r="H141" i="10"/>
  <c r="H142" i="10"/>
  <c r="H143" i="10"/>
  <c r="H144" i="10"/>
  <c r="H145" i="10"/>
  <c r="H146" i="10"/>
  <c r="H140" i="10"/>
  <c r="H121" i="10"/>
  <c r="H122" i="10"/>
  <c r="H123" i="10"/>
  <c r="H124" i="10"/>
  <c r="H125" i="10"/>
  <c r="H126" i="10"/>
  <c r="H120" i="10"/>
  <c r="H133" i="10"/>
  <c r="H134" i="10"/>
  <c r="H135" i="10"/>
  <c r="H136" i="10"/>
  <c r="H137" i="10"/>
  <c r="H138" i="10"/>
  <c r="H132" i="10"/>
  <c r="H116" i="10"/>
  <c r="H117" i="10"/>
  <c r="H118" i="10"/>
  <c r="H115" i="10"/>
  <c r="N141" i="10"/>
  <c r="N142" i="10"/>
  <c r="N143" i="10"/>
  <c r="N144" i="10"/>
  <c r="N145" i="10"/>
  <c r="N146" i="10"/>
  <c r="N140" i="10"/>
  <c r="N108" i="10"/>
  <c r="N109" i="10"/>
  <c r="N110" i="10"/>
  <c r="N121" i="10"/>
  <c r="N122" i="10"/>
  <c r="N123" i="10"/>
  <c r="N124" i="10"/>
  <c r="N125" i="10"/>
  <c r="N126" i="10"/>
  <c r="N120" i="10"/>
  <c r="N133" i="10"/>
  <c r="N134" i="10"/>
  <c r="N135" i="10"/>
  <c r="N136" i="10"/>
  <c r="N137" i="10"/>
  <c r="N138" i="10"/>
  <c r="N132" i="10"/>
  <c r="N116" i="10"/>
  <c r="N117" i="10"/>
  <c r="N118" i="10"/>
  <c r="N115" i="10"/>
  <c r="N101" i="10"/>
  <c r="N100" i="10"/>
  <c r="C45" i="8"/>
  <c r="B132" i="8"/>
  <c r="E159" i="8"/>
  <c r="E103" i="8"/>
  <c r="E87" i="8"/>
  <c r="B155" i="8"/>
  <c r="E165" i="8"/>
  <c r="E157" i="8"/>
  <c r="E133" i="8"/>
  <c r="E125" i="8"/>
  <c r="E101" i="8"/>
  <c r="E93" i="8"/>
  <c r="E68" i="8"/>
  <c r="E80" i="8"/>
  <c r="E84" i="8"/>
  <c r="E96" i="8"/>
  <c r="E100" i="8"/>
  <c r="E112" i="8"/>
  <c r="E116" i="8"/>
  <c r="E128" i="8"/>
  <c r="E132" i="8"/>
  <c r="E144" i="8"/>
  <c r="E148" i="8"/>
  <c r="E160" i="8"/>
  <c r="E164" i="8"/>
  <c r="C103" i="8"/>
  <c r="C135" i="8"/>
  <c r="E78" i="8"/>
  <c r="E82" i="8"/>
  <c r="E94" i="8"/>
  <c r="E98" i="8"/>
  <c r="E110" i="8"/>
  <c r="E114" i="8"/>
  <c r="E126" i="8"/>
  <c r="E130" i="8"/>
  <c r="E142" i="8"/>
  <c r="E146" i="8"/>
  <c r="E158" i="8"/>
  <c r="E162" i="8"/>
  <c r="C113" i="8"/>
  <c r="B146" i="8"/>
  <c r="E127" i="8"/>
  <c r="E111" i="8"/>
  <c r="B97" i="8"/>
  <c r="C96" i="8"/>
  <c r="E163" i="8"/>
  <c r="E147" i="8"/>
  <c r="E139" i="8"/>
  <c r="E131" i="8"/>
  <c r="E115" i="8"/>
  <c r="E107" i="8"/>
  <c r="E99" i="8"/>
  <c r="E83" i="8"/>
  <c r="E75" i="8"/>
  <c r="E67" i="8"/>
  <c r="E161" i="8"/>
  <c r="E145" i="8"/>
  <c r="E137" i="8"/>
  <c r="E129" i="8"/>
  <c r="E113" i="8"/>
  <c r="E105" i="8"/>
  <c r="E97" i="8"/>
  <c r="E81" i="8"/>
  <c r="E73" i="8"/>
  <c r="H5" i="9"/>
  <c r="B143" i="8" s="1"/>
  <c r="D77" i="1"/>
  <c r="D84" i="1" s="1"/>
  <c r="CY55" i="1"/>
  <c r="BB55" i="1"/>
  <c r="D11" i="11"/>
  <c r="AQ77" i="1"/>
  <c r="AQ85" i="1" s="1"/>
  <c r="AR77" i="1"/>
  <c r="AS77" i="1"/>
  <c r="AT77" i="1"/>
  <c r="AT85" i="1" s="1"/>
  <c r="AU77" i="1"/>
  <c r="AV77" i="1"/>
  <c r="AW77" i="1"/>
  <c r="AW85" i="1" s="1"/>
  <c r="AX77" i="1"/>
  <c r="AY77" i="1"/>
  <c r="AZ77" i="1"/>
  <c r="BA77" i="1"/>
  <c r="BA85" i="1" s="1"/>
  <c r="BB77" i="1"/>
  <c r="BC77" i="1"/>
  <c r="BC85" i="1" s="1"/>
  <c r="BD77" i="1"/>
  <c r="BE77" i="1"/>
  <c r="BE84" i="1" s="1"/>
  <c r="BF77" i="1"/>
  <c r="BG77" i="1"/>
  <c r="BH77" i="1"/>
  <c r="BI77" i="1"/>
  <c r="BI84" i="1" s="1"/>
  <c r="BJ77" i="1"/>
  <c r="BJ85" i="1" s="1"/>
  <c r="BK77" i="1"/>
  <c r="BL77" i="1"/>
  <c r="BM77" i="1"/>
  <c r="BM85" i="1" s="1"/>
  <c r="BN77" i="1"/>
  <c r="BN84" i="1" s="1"/>
  <c r="BO77" i="1"/>
  <c r="BP77" i="1"/>
  <c r="BQ77" i="1"/>
  <c r="BQ85" i="1" s="1"/>
  <c r="BR77" i="1"/>
  <c r="BS77" i="1"/>
  <c r="BS85" i="1" s="1"/>
  <c r="BT77" i="1"/>
  <c r="BU77" i="1"/>
  <c r="BV77" i="1"/>
  <c r="BW77" i="1"/>
  <c r="BW85" i="1" s="1"/>
  <c r="BX77" i="1"/>
  <c r="BY77" i="1"/>
  <c r="BZ77" i="1"/>
  <c r="CA77" i="1"/>
  <c r="CA82" i="1" s="1"/>
  <c r="CB77" i="1"/>
  <c r="CC77" i="1"/>
  <c r="CC84" i="1" s="1"/>
  <c r="CD77" i="1"/>
  <c r="CE77" i="1"/>
  <c r="CF77" i="1"/>
  <c r="CG77" i="1"/>
  <c r="CH77" i="1"/>
  <c r="CI77" i="1"/>
  <c r="CI85" i="1" s="1"/>
  <c r="CJ77" i="1"/>
  <c r="CK77" i="1"/>
  <c r="CL77" i="1"/>
  <c r="CM77" i="1"/>
  <c r="CM82" i="1" s="1"/>
  <c r="CN77" i="1"/>
  <c r="CN85" i="1" s="1"/>
  <c r="CO77" i="1"/>
  <c r="CP77" i="1"/>
  <c r="CP84" i="1" s="1"/>
  <c r="CQ77" i="1"/>
  <c r="CR77" i="1"/>
  <c r="CR85" i="1" s="1"/>
  <c r="CS77" i="1"/>
  <c r="CT77" i="1"/>
  <c r="CU77" i="1"/>
  <c r="CV77" i="1"/>
  <c r="CW77" i="1"/>
  <c r="CX77" i="1"/>
  <c r="CY77" i="1"/>
  <c r="Z77" i="1"/>
  <c r="AA77" i="1"/>
  <c r="AB77" i="1"/>
  <c r="AC77" i="1"/>
  <c r="AD77" i="1"/>
  <c r="AE77" i="1"/>
  <c r="AE85" i="1" s="1"/>
  <c r="AF77" i="1"/>
  <c r="AG77" i="1"/>
  <c r="AH77" i="1"/>
  <c r="AH85" i="1" s="1"/>
  <c r="AI77" i="1"/>
  <c r="AJ77" i="1"/>
  <c r="AK77" i="1"/>
  <c r="AL77" i="1"/>
  <c r="AL85" i="1" s="1"/>
  <c r="AM77" i="1"/>
  <c r="AN77" i="1"/>
  <c r="AO77" i="1"/>
  <c r="AO84" i="1" s="1"/>
  <c r="AP77" i="1"/>
  <c r="H77" i="1"/>
  <c r="I77" i="1"/>
  <c r="J77" i="1"/>
  <c r="J85" i="1" s="1"/>
  <c r="K77" i="1"/>
  <c r="K84" i="1" s="1"/>
  <c r="L77" i="1"/>
  <c r="M77" i="1"/>
  <c r="M85" i="1" s="1"/>
  <c r="N77" i="1"/>
  <c r="N85" i="1" s="1"/>
  <c r="O77" i="1"/>
  <c r="P77" i="1"/>
  <c r="Q77" i="1"/>
  <c r="R77" i="1"/>
  <c r="S77" i="1"/>
  <c r="S84" i="1" s="1"/>
  <c r="T77" i="1"/>
  <c r="U77" i="1"/>
  <c r="V77" i="1"/>
  <c r="W77" i="1"/>
  <c r="X77" i="1"/>
  <c r="Y77" i="1"/>
  <c r="E77" i="1"/>
  <c r="F77" i="1"/>
  <c r="G77" i="1"/>
  <c r="S60" i="10"/>
  <c r="R60" i="10"/>
  <c r="Q60" i="10"/>
  <c r="L60" i="10"/>
  <c r="N60" i="10" s="1"/>
  <c r="G60" i="10"/>
  <c r="H60" i="10" s="1"/>
  <c r="I60" i="10" s="1"/>
  <c r="G59" i="10"/>
  <c r="H59" i="10" s="1"/>
  <c r="J59" i="10" s="1"/>
  <c r="E12" i="11"/>
  <c r="D12" i="11"/>
  <c r="A9" i="11"/>
  <c r="A10" i="11"/>
  <c r="E15" i="11"/>
  <c r="D15" i="11"/>
  <c r="E11" i="11"/>
  <c r="E7" i="11"/>
  <c r="E8" i="11" s="1"/>
  <c r="D7" i="11"/>
  <c r="D8" i="11" s="1"/>
  <c r="D16" i="11"/>
  <c r="D20" i="11"/>
  <c r="B156" i="10"/>
  <c r="G13" i="9"/>
  <c r="AR55" i="1" s="1"/>
  <c r="G6" i="9"/>
  <c r="H6" i="9" s="1"/>
  <c r="A18" i="11"/>
  <c r="G27" i="10"/>
  <c r="D16" i="1" s="1"/>
  <c r="P141" i="10"/>
  <c r="P142" i="10"/>
  <c r="P143" i="10"/>
  <c r="P144" i="10"/>
  <c r="P145" i="10"/>
  <c r="P146" i="10"/>
  <c r="P140" i="10"/>
  <c r="P134" i="10"/>
  <c r="P135" i="10"/>
  <c r="P136" i="10"/>
  <c r="P137" i="10"/>
  <c r="P138" i="10"/>
  <c r="P133" i="10"/>
  <c r="P132" i="10"/>
  <c r="P121" i="10"/>
  <c r="P122" i="10"/>
  <c r="P123" i="10"/>
  <c r="P124" i="10"/>
  <c r="P125" i="10"/>
  <c r="P126" i="10"/>
  <c r="P120" i="10"/>
  <c r="P117" i="10"/>
  <c r="P118" i="10"/>
  <c r="P116" i="10"/>
  <c r="P115" i="10"/>
  <c r="P102" i="10"/>
  <c r="P103" i="10"/>
  <c r="P104" i="10"/>
  <c r="P105" i="10"/>
  <c r="P106" i="10"/>
  <c r="P107" i="10"/>
  <c r="P108" i="10"/>
  <c r="P109" i="10"/>
  <c r="P110" i="10"/>
  <c r="P101" i="10"/>
  <c r="P100" i="10"/>
  <c r="C38" i="8"/>
  <c r="H55" i="10"/>
  <c r="AL14" i="1" s="1"/>
  <c r="C12" i="8"/>
  <c r="G55" i="10"/>
  <c r="D14" i="1" s="1"/>
  <c r="S4" i="12"/>
  <c r="Q7" i="12"/>
  <c r="S7" i="12"/>
  <c r="Q6" i="12"/>
  <c r="S6" i="12"/>
  <c r="Q5" i="12"/>
  <c r="S5" i="12"/>
  <c r="C50" i="8"/>
  <c r="Q131" i="10"/>
  <c r="O14" i="12"/>
  <c r="P14" i="12"/>
  <c r="O13" i="12"/>
  <c r="O12" i="12"/>
  <c r="P12" i="12" s="1"/>
  <c r="Q11" i="12"/>
  <c r="W3" i="12"/>
  <c r="C54" i="8"/>
  <c r="Q108" i="10" s="1"/>
  <c r="P11" i="12"/>
  <c r="P7" i="12"/>
  <c r="P6" i="12"/>
  <c r="P5" i="12"/>
  <c r="P4" i="12"/>
  <c r="L101" i="10"/>
  <c r="U101" i="10" s="1"/>
  <c r="L133" i="10"/>
  <c r="U133" i="10" s="1"/>
  <c r="L134" i="10"/>
  <c r="U134" i="10" s="1"/>
  <c r="L135" i="10"/>
  <c r="U135" i="10" s="1"/>
  <c r="L136" i="10"/>
  <c r="U136" i="10" s="1"/>
  <c r="L137" i="10"/>
  <c r="U137" i="10" s="1"/>
  <c r="L138" i="10"/>
  <c r="U138" i="10" s="1"/>
  <c r="L132" i="10"/>
  <c r="U132" i="10" s="1"/>
  <c r="O142" i="10"/>
  <c r="O143" i="10"/>
  <c r="O144" i="10"/>
  <c r="O145" i="10"/>
  <c r="O146" i="10"/>
  <c r="O123" i="10"/>
  <c r="O124" i="10"/>
  <c r="O125" i="10"/>
  <c r="O126" i="10"/>
  <c r="O122" i="10"/>
  <c r="O106" i="10"/>
  <c r="O107" i="10"/>
  <c r="O108" i="10"/>
  <c r="O109" i="10"/>
  <c r="O110" i="10"/>
  <c r="O131" i="10"/>
  <c r="O114" i="10"/>
  <c r="O99" i="10"/>
  <c r="G73" i="10"/>
  <c r="J35" i="1" s="1"/>
  <c r="C30" i="10"/>
  <c r="A19" i="11"/>
  <c r="C34" i="10"/>
  <c r="B10" i="10"/>
  <c r="G75" i="10" s="1"/>
  <c r="AS37" i="1" s="1"/>
  <c r="G21" i="10"/>
  <c r="H21" i="10" s="1"/>
  <c r="D8" i="1" s="1"/>
  <c r="C8" i="1" s="1"/>
  <c r="C5" i="8"/>
  <c r="C6" i="8" s="1"/>
  <c r="G44" i="10" s="1"/>
  <c r="C10" i="8"/>
  <c r="A34" i="10"/>
  <c r="G37" i="10"/>
  <c r="R38" i="1" s="1"/>
  <c r="CF34" i="1"/>
  <c r="CG34" i="1"/>
  <c r="CH34" i="1"/>
  <c r="CI34" i="1"/>
  <c r="CL34" i="1"/>
  <c r="CM34" i="1"/>
  <c r="CN34" i="1"/>
  <c r="CP34" i="1"/>
  <c r="CQ34" i="1"/>
  <c r="CR34" i="1"/>
  <c r="CU34" i="1"/>
  <c r="CV34" i="1"/>
  <c r="CW34" i="1"/>
  <c r="CX34" i="1"/>
  <c r="H34" i="1"/>
  <c r="I34" i="1"/>
  <c r="J34" i="1"/>
  <c r="K34" i="1"/>
  <c r="L34" i="1"/>
  <c r="N34" i="1"/>
  <c r="O34" i="1"/>
  <c r="P34" i="1"/>
  <c r="Q34" i="1"/>
  <c r="S34" i="1"/>
  <c r="T34" i="1"/>
  <c r="V34" i="1"/>
  <c r="X34" i="1"/>
  <c r="Y34" i="1"/>
  <c r="AA34" i="1"/>
  <c r="AC34" i="1"/>
  <c r="AD34" i="1"/>
  <c r="AF34" i="1"/>
  <c r="AI34" i="1"/>
  <c r="AK34" i="1"/>
  <c r="AN34" i="1"/>
  <c r="AS34" i="1"/>
  <c r="AT34" i="1"/>
  <c r="AU34" i="1"/>
  <c r="AX34" i="1"/>
  <c r="AZ34" i="1"/>
  <c r="BC34" i="1"/>
  <c r="BD34" i="1"/>
  <c r="BE34" i="1"/>
  <c r="BH34" i="1"/>
  <c r="BI34" i="1"/>
  <c r="BJ34" i="1"/>
  <c r="BO34" i="1"/>
  <c r="BR34" i="1"/>
  <c r="BS34" i="1"/>
  <c r="BT34" i="1"/>
  <c r="BW34" i="1"/>
  <c r="BX34" i="1"/>
  <c r="BY34" i="1"/>
  <c r="C22" i="8"/>
  <c r="C33" i="8"/>
  <c r="G28" i="10"/>
  <c r="D17" i="1" s="1"/>
  <c r="D49" i="1"/>
  <c r="C49" i="1" s="1"/>
  <c r="E57" i="1"/>
  <c r="E86" i="1" s="1"/>
  <c r="F57" i="1"/>
  <c r="G57" i="1"/>
  <c r="G86" i="1" s="1"/>
  <c r="H57" i="1"/>
  <c r="I57" i="1"/>
  <c r="I86" i="1" s="1"/>
  <c r="J57" i="1"/>
  <c r="K57" i="1"/>
  <c r="K86" i="1" s="1"/>
  <c r="L57" i="1"/>
  <c r="M57" i="1"/>
  <c r="N57" i="1"/>
  <c r="N86" i="1" s="1"/>
  <c r="O57" i="1"/>
  <c r="O86" i="1" s="1"/>
  <c r="P57" i="1"/>
  <c r="Q57" i="1"/>
  <c r="Q86" i="1" s="1"/>
  <c r="R57" i="1"/>
  <c r="R86" i="1" s="1"/>
  <c r="S57" i="1"/>
  <c r="S86" i="1" s="1"/>
  <c r="T57" i="1"/>
  <c r="T86" i="1" s="1"/>
  <c r="U57" i="1"/>
  <c r="U86" i="1" s="1"/>
  <c r="V57" i="1"/>
  <c r="V86" i="1" s="1"/>
  <c r="W57" i="1"/>
  <c r="X57" i="1"/>
  <c r="X86" i="1" s="1"/>
  <c r="Y57" i="1"/>
  <c r="Y86" i="1" s="1"/>
  <c r="Z57" i="1"/>
  <c r="Z86" i="1" s="1"/>
  <c r="AA57" i="1"/>
  <c r="AB57" i="1"/>
  <c r="AC57" i="1"/>
  <c r="AC86" i="1" s="1"/>
  <c r="AD57" i="1"/>
  <c r="AD86" i="1" s="1"/>
  <c r="AE57" i="1"/>
  <c r="AF57" i="1"/>
  <c r="AG57" i="1"/>
  <c r="AG86" i="1" s="1"/>
  <c r="AH57" i="1"/>
  <c r="AI57" i="1"/>
  <c r="AI86" i="1" s="1"/>
  <c r="AJ57" i="1"/>
  <c r="AK57" i="1"/>
  <c r="AK86" i="1" s="1"/>
  <c r="AL57" i="1"/>
  <c r="AM57" i="1"/>
  <c r="AM86" i="1" s="1"/>
  <c r="AN57" i="1"/>
  <c r="AO57" i="1"/>
  <c r="AO86" i="1" s="1"/>
  <c r="AP57" i="1"/>
  <c r="AP86" i="1" s="1"/>
  <c r="AR57" i="1"/>
  <c r="AR86" i="1" s="1"/>
  <c r="AS57" i="1"/>
  <c r="AS86" i="1" s="1"/>
  <c r="AT57" i="1"/>
  <c r="AT86" i="1" s="1"/>
  <c r="AU57" i="1"/>
  <c r="AU86" i="1" s="1"/>
  <c r="AW57" i="1"/>
  <c r="AX57" i="1"/>
  <c r="AX86" i="1" s="1"/>
  <c r="AY57" i="1"/>
  <c r="AY86" i="1" s="1"/>
  <c r="AZ57" i="1"/>
  <c r="BB57" i="1"/>
  <c r="BB86" i="1" s="1"/>
  <c r="BC57" i="1"/>
  <c r="BD57" i="1"/>
  <c r="BD86" i="1" s="1"/>
  <c r="BE57" i="1"/>
  <c r="BE86" i="1" s="1"/>
  <c r="BG57" i="1"/>
  <c r="BG86" i="1" s="1"/>
  <c r="BH57" i="1"/>
  <c r="BH86" i="1" s="1"/>
  <c r="BI57" i="1"/>
  <c r="BJ57" i="1"/>
  <c r="BJ86" i="1" s="1"/>
  <c r="BL57" i="1"/>
  <c r="BL86" i="1" s="1"/>
  <c r="BM57" i="1"/>
  <c r="BN57" i="1"/>
  <c r="BN86" i="1" s="1"/>
  <c r="BO57" i="1"/>
  <c r="BQ57" i="1"/>
  <c r="BR57" i="1"/>
  <c r="BR86" i="1" s="1"/>
  <c r="BS57" i="1"/>
  <c r="BS86" i="1" s="1"/>
  <c r="BT57" i="1"/>
  <c r="BV57" i="1"/>
  <c r="BV86" i="1" s="1"/>
  <c r="BW57" i="1"/>
  <c r="BX57" i="1"/>
  <c r="BX86" i="1" s="1"/>
  <c r="BY57" i="1"/>
  <c r="BY86" i="1" s="1"/>
  <c r="CA57" i="1"/>
  <c r="CB57" i="1"/>
  <c r="CB86" i="1" s="1"/>
  <c r="CC57" i="1"/>
  <c r="CC86" i="1" s="1"/>
  <c r="CD57" i="1"/>
  <c r="CD86" i="1" s="1"/>
  <c r="CF57" i="1"/>
  <c r="CF86" i="1" s="1"/>
  <c r="CG57" i="1"/>
  <c r="CG86" i="1" s="1"/>
  <c r="CH57" i="1"/>
  <c r="CH86" i="1" s="1"/>
  <c r="CI57" i="1"/>
  <c r="CK57" i="1"/>
  <c r="CK86" i="1" s="1"/>
  <c r="CL57" i="1"/>
  <c r="CL86" i="1" s="1"/>
  <c r="CM57" i="1"/>
  <c r="CN57" i="1"/>
  <c r="CN86" i="1" s="1"/>
  <c r="CP57" i="1"/>
  <c r="CP86" i="1" s="1"/>
  <c r="CQ57" i="1"/>
  <c r="CQ86" i="1" s="1"/>
  <c r="CR57" i="1"/>
  <c r="CR86" i="1" s="1"/>
  <c r="CS57" i="1"/>
  <c r="CS86" i="1" s="1"/>
  <c r="CU57" i="1"/>
  <c r="CU86" i="1" s="1"/>
  <c r="CV57" i="1"/>
  <c r="CV86" i="1" s="1"/>
  <c r="CW57" i="1"/>
  <c r="CW86" i="1" s="1"/>
  <c r="CX57" i="1"/>
  <c r="D57" i="1"/>
  <c r="D86" i="1" s="1"/>
  <c r="B54" i="10"/>
  <c r="G42" i="10"/>
  <c r="A43" i="10"/>
  <c r="A44" i="10"/>
  <c r="A42" i="10"/>
  <c r="A35" i="10"/>
  <c r="C32" i="10"/>
  <c r="C31" i="10" s="1"/>
  <c r="C61" i="12"/>
  <c r="C62" i="12"/>
  <c r="C63" i="12"/>
  <c r="C64" i="12" s="1"/>
  <c r="C65" i="12" s="1"/>
  <c r="C66" i="12" s="1"/>
  <c r="C67" i="12"/>
  <c r="C68" i="12" s="1"/>
  <c r="C69" i="12" s="1"/>
  <c r="C70" i="12" s="1"/>
  <c r="C71" i="12" s="1"/>
  <c r="C72" i="12" s="1"/>
  <c r="C73" i="12" s="1"/>
  <c r="C74" i="12" s="1"/>
  <c r="C75" i="12" s="1"/>
  <c r="C76" i="12" s="1"/>
  <c r="C77" i="12" s="1"/>
  <c r="C78" i="12" s="1"/>
  <c r="C79" i="12" s="1"/>
  <c r="C80" i="12" s="1"/>
  <c r="C81" i="12" s="1"/>
  <c r="C82" i="12" s="1"/>
  <c r="C83" i="12" s="1"/>
  <c r="C84" i="12" s="1"/>
  <c r="C85" i="12" s="1"/>
  <c r="C86" i="12" s="1"/>
  <c r="C87" i="12" s="1"/>
  <c r="C88" i="12" s="1"/>
  <c r="C89" i="12" s="1"/>
  <c r="C90" i="12" s="1"/>
  <c r="C91" i="12" s="1"/>
  <c r="C92" i="12" s="1"/>
  <c r="C93" i="12" s="1"/>
  <c r="C94" i="12" s="1"/>
  <c r="C95" i="12" s="1"/>
  <c r="C96" i="12" s="1"/>
  <c r="C97" i="12" s="1"/>
  <c r="C98" i="12" s="1"/>
  <c r="C99" i="12" s="1"/>
  <c r="C100" i="12" s="1"/>
  <c r="C101" i="12" s="1"/>
  <c r="C102" i="12" s="1"/>
  <c r="C103" i="12" s="1"/>
  <c r="C104" i="12" s="1"/>
  <c r="C105" i="12" s="1"/>
  <c r="C106" i="12" s="1"/>
  <c r="C107" i="12" s="1"/>
  <c r="C108" i="12" s="1"/>
  <c r="C109" i="12" s="1"/>
  <c r="C110" i="12" s="1"/>
  <c r="C111" i="12" s="1"/>
  <c r="C112" i="12" s="1"/>
  <c r="C113" i="12" s="1"/>
  <c r="C114" i="12" s="1"/>
  <c r="C115" i="12" s="1"/>
  <c r="C116" i="12" s="1"/>
  <c r="C117" i="12" s="1"/>
  <c r="C118" i="12" s="1"/>
  <c r="C119" i="12" s="1"/>
  <c r="C120" i="12" s="1"/>
  <c r="C121" i="12" s="1"/>
  <c r="C122" i="12" s="1"/>
  <c r="C123" i="12" s="1"/>
  <c r="C124" i="12" s="1"/>
  <c r="C125" i="12" s="1"/>
  <c r="C126" i="12" s="1"/>
  <c r="C127" i="12" s="1"/>
  <c r="C128" i="12" s="1"/>
  <c r="C129" i="12" s="1"/>
  <c r="C130" i="12" s="1"/>
  <c r="C131" i="12" s="1"/>
  <c r="C132" i="12" s="1"/>
  <c r="C133" i="12" s="1"/>
  <c r="C134" i="12" s="1"/>
  <c r="C135" i="12" s="1"/>
  <c r="C136" i="12" s="1"/>
  <c r="C137" i="12" s="1"/>
  <c r="C138" i="12" s="1"/>
  <c r="C139" i="12" s="1"/>
  <c r="C140" i="12" s="1"/>
  <c r="C141" i="12" s="1"/>
  <c r="C142" i="12" s="1"/>
  <c r="C143" i="12" s="1"/>
  <c r="C144" i="12" s="1"/>
  <c r="C145" i="12" s="1"/>
  <c r="C146" i="12" s="1"/>
  <c r="C147" i="12" s="1"/>
  <c r="C148" i="12" s="1"/>
  <c r="C149" i="12" s="1"/>
  <c r="C150" i="12" s="1"/>
  <c r="C151" i="12" s="1"/>
  <c r="C152" i="12" s="1"/>
  <c r="C153" i="12" s="1"/>
  <c r="C154" i="12" s="1"/>
  <c r="C155" i="12" s="1"/>
  <c r="C156" i="12" s="1"/>
  <c r="C157" i="12" s="1"/>
  <c r="C158" i="12" s="1"/>
  <c r="C159" i="12" s="1"/>
  <c r="C160" i="12" s="1"/>
  <c r="B61" i="12"/>
  <c r="B62" i="12"/>
  <c r="B63" i="12"/>
  <c r="B64" i="12" s="1"/>
  <c r="B65" i="12" s="1"/>
  <c r="B66" i="12"/>
  <c r="B67" i="12" s="1"/>
  <c r="B68" i="12" s="1"/>
  <c r="B69" i="12" s="1"/>
  <c r="B70" i="12" s="1"/>
  <c r="B71" i="12" s="1"/>
  <c r="B72" i="12" s="1"/>
  <c r="B73" i="12" s="1"/>
  <c r="B74" i="12" s="1"/>
  <c r="B75" i="12" s="1"/>
  <c r="B76" i="12" s="1"/>
  <c r="B77" i="12" s="1"/>
  <c r="B78" i="12" s="1"/>
  <c r="B79" i="12" s="1"/>
  <c r="B80" i="12" s="1"/>
  <c r="B81" i="12" s="1"/>
  <c r="B82" i="12" s="1"/>
  <c r="B83" i="12" s="1"/>
  <c r="B84" i="12" s="1"/>
  <c r="B85" i="12" s="1"/>
  <c r="B86" i="12" s="1"/>
  <c r="B87" i="12" s="1"/>
  <c r="B88" i="12" s="1"/>
  <c r="B89" i="12" s="1"/>
  <c r="B90" i="12" s="1"/>
  <c r="B91" i="12" s="1"/>
  <c r="B92" i="12" s="1"/>
  <c r="B93" i="12" s="1"/>
  <c r="B94" i="12" s="1"/>
  <c r="B95" i="12" s="1"/>
  <c r="B96" i="12" s="1"/>
  <c r="B97" i="12" s="1"/>
  <c r="B98" i="12" s="1"/>
  <c r="B99" i="12" s="1"/>
  <c r="B100" i="12" s="1"/>
  <c r="B101" i="12" s="1"/>
  <c r="B102" i="12" s="1"/>
  <c r="B103" i="12" s="1"/>
  <c r="B104" i="12" s="1"/>
  <c r="B105" i="12" s="1"/>
  <c r="B106" i="12" s="1"/>
  <c r="B107" i="12" s="1"/>
  <c r="B108" i="12" s="1"/>
  <c r="B109" i="12" s="1"/>
  <c r="B110" i="12" s="1"/>
  <c r="B111" i="12" s="1"/>
  <c r="B112" i="12" s="1"/>
  <c r="B113" i="12" s="1"/>
  <c r="B114" i="12" s="1"/>
  <c r="B115" i="12" s="1"/>
  <c r="B116" i="12" s="1"/>
  <c r="B117" i="12" s="1"/>
  <c r="B118" i="12" s="1"/>
  <c r="B119" i="12" s="1"/>
  <c r="B120" i="12" s="1"/>
  <c r="B121" i="12" s="1"/>
  <c r="B122" i="12" s="1"/>
  <c r="B123" i="12" s="1"/>
  <c r="B124" i="12" s="1"/>
  <c r="B125" i="12" s="1"/>
  <c r="B126" i="12" s="1"/>
  <c r="B127" i="12" s="1"/>
  <c r="B128" i="12" s="1"/>
  <c r="B129" i="12" s="1"/>
  <c r="B130" i="12" s="1"/>
  <c r="B131" i="12" s="1"/>
  <c r="B132" i="12" s="1"/>
  <c r="B133" i="12" s="1"/>
  <c r="B134" i="12" s="1"/>
  <c r="B135" i="12" s="1"/>
  <c r="B136" i="12" s="1"/>
  <c r="B137" i="12" s="1"/>
  <c r="B138" i="12" s="1"/>
  <c r="B139" i="12" s="1"/>
  <c r="B140" i="12" s="1"/>
  <c r="B141" i="12" s="1"/>
  <c r="B142" i="12" s="1"/>
  <c r="B143" i="12" s="1"/>
  <c r="B144" i="12" s="1"/>
  <c r="B145" i="12" s="1"/>
  <c r="B146" i="12" s="1"/>
  <c r="B147" i="12" s="1"/>
  <c r="B148" i="12" s="1"/>
  <c r="B149" i="12" s="1"/>
  <c r="B150" i="12" s="1"/>
  <c r="B151" i="12" s="1"/>
  <c r="B152" i="12" s="1"/>
  <c r="B153" i="12" s="1"/>
  <c r="B154" i="12" s="1"/>
  <c r="B155" i="12" s="1"/>
  <c r="B156" i="12" s="1"/>
  <c r="B157" i="12" s="1"/>
  <c r="B158" i="12" s="1"/>
  <c r="B159" i="12" s="1"/>
  <c r="B160" i="12" s="1"/>
  <c r="U99" i="10"/>
  <c r="L100" i="10"/>
  <c r="U100" i="10" s="1"/>
  <c r="L102" i="10"/>
  <c r="U102" i="10" s="1"/>
  <c r="L103" i="10"/>
  <c r="U103" i="10" s="1"/>
  <c r="L104" i="10"/>
  <c r="L105" i="10"/>
  <c r="U105" i="10" s="1"/>
  <c r="L106" i="10"/>
  <c r="U106" i="10" s="1"/>
  <c r="L107" i="10"/>
  <c r="U107" i="10" s="1"/>
  <c r="L108" i="10"/>
  <c r="U108" i="10" s="1"/>
  <c r="L109" i="10"/>
  <c r="U109" i="10" s="1"/>
  <c r="L110" i="10"/>
  <c r="U110" i="10" s="1"/>
  <c r="L111" i="10"/>
  <c r="U111" i="10" s="1"/>
  <c r="L115" i="10"/>
  <c r="U115" i="10" s="1"/>
  <c r="L116" i="10"/>
  <c r="U116" i="10"/>
  <c r="L117" i="10"/>
  <c r="U117" i="10" s="1"/>
  <c r="L118" i="10"/>
  <c r="U118" i="10" s="1"/>
  <c r="L119" i="10"/>
  <c r="U119" i="10" s="1"/>
  <c r="L120" i="10"/>
  <c r="U120" i="10" s="1"/>
  <c r="L121" i="10"/>
  <c r="U121" i="10" s="1"/>
  <c r="L122" i="10"/>
  <c r="U122" i="10" s="1"/>
  <c r="L123" i="10"/>
  <c r="U123" i="10" s="1"/>
  <c r="L124" i="10"/>
  <c r="U124" i="10" s="1"/>
  <c r="L125" i="10"/>
  <c r="L126" i="10"/>
  <c r="U126" i="10" s="1"/>
  <c r="L127" i="10"/>
  <c r="M127" i="10"/>
  <c r="U131" i="10"/>
  <c r="L139" i="10"/>
  <c r="U139" i="10" s="1"/>
  <c r="L140" i="10"/>
  <c r="U140" i="10" s="1"/>
  <c r="L141" i="10"/>
  <c r="L142" i="10"/>
  <c r="U142" i="10" s="1"/>
  <c r="L143" i="10"/>
  <c r="U143" i="10" s="1"/>
  <c r="L144" i="10"/>
  <c r="U144" i="10" s="1"/>
  <c r="L145" i="10"/>
  <c r="U145" i="10"/>
  <c r="L146" i="10"/>
  <c r="U146" i="10" s="1"/>
  <c r="L147" i="10"/>
  <c r="M147" i="10"/>
  <c r="G35" i="10"/>
  <c r="G34" i="10"/>
  <c r="B2" i="1"/>
  <c r="B3" i="1"/>
  <c r="H32" i="10"/>
  <c r="W20" i="1" s="1"/>
  <c r="G32" i="10"/>
  <c r="R20" i="1" s="1"/>
  <c r="R34" i="1" s="1"/>
  <c r="G31" i="10"/>
  <c r="D19" i="1" s="1"/>
  <c r="H31" i="10"/>
  <c r="AQ19" i="1" s="1"/>
  <c r="G49" i="10"/>
  <c r="G50" i="10"/>
  <c r="D10" i="1" s="1"/>
  <c r="C10" i="1" s="1"/>
  <c r="G51" i="10"/>
  <c r="D11" i="1" s="1"/>
  <c r="C11" i="1" s="1"/>
  <c r="G53" i="10"/>
  <c r="D13" i="1" s="1"/>
  <c r="C13" i="1" s="1"/>
  <c r="D51" i="8"/>
  <c r="D53" i="8"/>
  <c r="O134" i="10"/>
  <c r="E52" i="1"/>
  <c r="F52" i="1"/>
  <c r="G52" i="1"/>
  <c r="H52" i="1"/>
  <c r="I52" i="1"/>
  <c r="J52" i="1"/>
  <c r="K52" i="1"/>
  <c r="L52" i="1"/>
  <c r="M52" i="1"/>
  <c r="N52" i="1"/>
  <c r="O52" i="1"/>
  <c r="P52" i="1"/>
  <c r="Q52" i="1"/>
  <c r="R52" i="1"/>
  <c r="S52" i="1"/>
  <c r="T52" i="1"/>
  <c r="U52" i="1"/>
  <c r="V52" i="1"/>
  <c r="W52" i="1"/>
  <c r="D52" i="1"/>
  <c r="A5" i="11"/>
  <c r="I152" i="10" s="1"/>
  <c r="A6" i="11"/>
  <c r="A8" i="11"/>
  <c r="A11" i="11"/>
  <c r="A12" i="11"/>
  <c r="A13" i="11"/>
  <c r="A15" i="11"/>
  <c r="A14" i="11"/>
  <c r="A16" i="11"/>
  <c r="A17" i="11"/>
  <c r="A20" i="11"/>
  <c r="A7" i="11"/>
  <c r="S66" i="10"/>
  <c r="S59" i="10"/>
  <c r="AR29" i="1" s="1"/>
  <c r="R66" i="10"/>
  <c r="R59" i="10"/>
  <c r="AQ29" i="1" s="1"/>
  <c r="Q66" i="10"/>
  <c r="Q59" i="10"/>
  <c r="AP29" i="1" s="1"/>
  <c r="O50" i="1"/>
  <c r="P50" i="1"/>
  <c r="Q50" i="1"/>
  <c r="R50" i="1"/>
  <c r="S50" i="1"/>
  <c r="E20" i="11"/>
  <c r="E16" i="11"/>
  <c r="L66" i="10"/>
  <c r="R61" i="10"/>
  <c r="BM29" i="1" s="1"/>
  <c r="B60" i="1"/>
  <c r="A89" i="1" s="1"/>
  <c r="B61" i="1"/>
  <c r="A90" i="1" s="1"/>
  <c r="B59" i="1"/>
  <c r="A88" i="1" s="1"/>
  <c r="B58" i="1"/>
  <c r="A87" i="1" s="1"/>
  <c r="AS53" i="1"/>
  <c r="AS82" i="1" s="1"/>
  <c r="AT53" i="1"/>
  <c r="AU53" i="1"/>
  <c r="AV53" i="1"/>
  <c r="AW53" i="1"/>
  <c r="AX53" i="1"/>
  <c r="AX82" i="1" s="1"/>
  <c r="AY53" i="1"/>
  <c r="AZ53" i="1"/>
  <c r="BA53" i="1"/>
  <c r="BB53" i="1"/>
  <c r="BC53" i="1"/>
  <c r="BD53" i="1"/>
  <c r="BE53" i="1"/>
  <c r="BF53" i="1"/>
  <c r="BG53" i="1"/>
  <c r="BH53" i="1"/>
  <c r="BI53" i="1"/>
  <c r="BJ53" i="1"/>
  <c r="BK53" i="1"/>
  <c r="BL53" i="1"/>
  <c r="BM53" i="1"/>
  <c r="BN53" i="1"/>
  <c r="BO53" i="1"/>
  <c r="BP53" i="1"/>
  <c r="BQ53" i="1"/>
  <c r="BR53" i="1"/>
  <c r="BR82" i="1" s="1"/>
  <c r="BS53" i="1"/>
  <c r="BT53" i="1"/>
  <c r="BU53" i="1"/>
  <c r="BU82" i="1" s="1"/>
  <c r="BV53" i="1"/>
  <c r="BW53" i="1"/>
  <c r="BX53" i="1"/>
  <c r="BY53" i="1"/>
  <c r="BZ53" i="1"/>
  <c r="CA53" i="1"/>
  <c r="CB53" i="1"/>
  <c r="CC53" i="1"/>
  <c r="CD53" i="1"/>
  <c r="CE53" i="1"/>
  <c r="CF53" i="1"/>
  <c r="CG53" i="1"/>
  <c r="CH53" i="1"/>
  <c r="CI53" i="1"/>
  <c r="CJ53" i="1"/>
  <c r="CK53" i="1"/>
  <c r="CL53" i="1"/>
  <c r="CM53" i="1"/>
  <c r="CN53" i="1"/>
  <c r="CO53" i="1"/>
  <c r="CP53" i="1"/>
  <c r="CQ53" i="1"/>
  <c r="CR53" i="1"/>
  <c r="CS53" i="1"/>
  <c r="CT53" i="1"/>
  <c r="CU53" i="1"/>
  <c r="CV53" i="1"/>
  <c r="CW53" i="1"/>
  <c r="CW82" i="1" s="1"/>
  <c r="CX53" i="1"/>
  <c r="CY53" i="1"/>
  <c r="G7" i="9"/>
  <c r="H7" i="9" s="1"/>
  <c r="G5" i="9"/>
  <c r="G14" i="9"/>
  <c r="G17" i="9"/>
  <c r="G18" i="9"/>
  <c r="AB55" i="1" s="1"/>
  <c r="G19" i="9"/>
  <c r="G20" i="9"/>
  <c r="G21" i="9"/>
  <c r="G22" i="9"/>
  <c r="G23" i="9"/>
  <c r="G24" i="9"/>
  <c r="G25" i="9"/>
  <c r="BK55" i="1" s="1"/>
  <c r="G26" i="9"/>
  <c r="BP55" i="1" s="1"/>
  <c r="G27" i="9"/>
  <c r="BU55" i="1" s="1"/>
  <c r="BU33" i="1" s="1"/>
  <c r="G28" i="9"/>
  <c r="BZ55" i="1" s="1"/>
  <c r="G29" i="9"/>
  <c r="G10" i="9"/>
  <c r="CS55" i="1" s="1"/>
  <c r="D48" i="1"/>
  <c r="C48" i="1" s="1"/>
  <c r="G30" i="10"/>
  <c r="D18" i="1" s="1"/>
  <c r="C18" i="1" s="1"/>
  <c r="G26" i="10"/>
  <c r="D15" i="1" s="1"/>
  <c r="D5" i="1"/>
  <c r="Y53" i="1"/>
  <c r="Z53" i="1"/>
  <c r="AA53" i="1"/>
  <c r="AB53" i="1"/>
  <c r="AC53" i="1"/>
  <c r="AD53" i="1"/>
  <c r="AE53" i="1"/>
  <c r="AE82" i="1" s="1"/>
  <c r="AF53" i="1"/>
  <c r="AG53" i="1"/>
  <c r="AH53" i="1"/>
  <c r="AI53" i="1"/>
  <c r="AI82" i="1" s="1"/>
  <c r="AJ53" i="1"/>
  <c r="AK53" i="1"/>
  <c r="AL53" i="1"/>
  <c r="AM53" i="1"/>
  <c r="AN53" i="1"/>
  <c r="AO53" i="1"/>
  <c r="AP53" i="1"/>
  <c r="AQ53" i="1"/>
  <c r="AQ82" i="1" s="1"/>
  <c r="AR53" i="1"/>
  <c r="L59" i="10"/>
  <c r="W59" i="10" s="1"/>
  <c r="AO26" i="1" s="1"/>
  <c r="S61" i="10"/>
  <c r="BN29" i="1" s="1"/>
  <c r="S65" i="10"/>
  <c r="R65" i="10"/>
  <c r="Q65" i="10"/>
  <c r="L65" i="10"/>
  <c r="W65" i="10" s="1"/>
  <c r="L61" i="10"/>
  <c r="N61" i="10" s="1"/>
  <c r="BK24" i="1" s="1"/>
  <c r="Q61" i="10"/>
  <c r="BL29" i="1" s="1"/>
  <c r="G61" i="10"/>
  <c r="H61" i="10" s="1"/>
  <c r="I61" i="10" s="1"/>
  <c r="X53" i="1"/>
  <c r="U104" i="10"/>
  <c r="C39" i="8"/>
  <c r="H27" i="10"/>
  <c r="W16" i="1" s="1"/>
  <c r="G52" i="10"/>
  <c r="D12" i="1" s="1"/>
  <c r="O137" i="10"/>
  <c r="O117" i="10"/>
  <c r="O136" i="10"/>
  <c r="O116" i="10"/>
  <c r="O121" i="10"/>
  <c r="O140" i="10"/>
  <c r="O105" i="10"/>
  <c r="O100" i="10"/>
  <c r="O115" i="10"/>
  <c r="O132" i="10"/>
  <c r="O104" i="10"/>
  <c r="O101" i="10"/>
  <c r="O103" i="10"/>
  <c r="O118" i="10"/>
  <c r="O133" i="10"/>
  <c r="O135" i="10"/>
  <c r="O141" i="10"/>
  <c r="O102" i="10"/>
  <c r="O120" i="10"/>
  <c r="O138" i="10"/>
  <c r="H26" i="10"/>
  <c r="H28" i="10"/>
  <c r="CE17" i="1" s="1"/>
  <c r="M50" i="1"/>
  <c r="J50" i="1"/>
  <c r="N50" i="1"/>
  <c r="E50" i="1"/>
  <c r="H50" i="1"/>
  <c r="K50" i="1"/>
  <c r="L50" i="1"/>
  <c r="F50" i="1"/>
  <c r="G50" i="1"/>
  <c r="I50" i="1"/>
  <c r="U141" i="10"/>
  <c r="U125" i="10"/>
  <c r="CL84" i="1"/>
  <c r="AT82" i="1"/>
  <c r="H106" i="10"/>
  <c r="N106" i="10"/>
  <c r="N104" i="10"/>
  <c r="H104" i="10"/>
  <c r="H102" i="10"/>
  <c r="N102" i="10"/>
  <c r="H107" i="10"/>
  <c r="N107" i="10"/>
  <c r="H105" i="10"/>
  <c r="N105" i="10"/>
  <c r="N103" i="10"/>
  <c r="H103" i="10"/>
  <c r="M114" i="10"/>
  <c r="M119" i="10" s="1"/>
  <c r="M128" i="10" s="1"/>
  <c r="Q14" i="12"/>
  <c r="S14" i="12"/>
  <c r="Q12" i="12"/>
  <c r="S12" i="12" s="1"/>
  <c r="C52" i="8"/>
  <c r="Q100" i="10" s="1"/>
  <c r="Q132" i="10"/>
  <c r="M131" i="10"/>
  <c r="M139" i="10" s="1"/>
  <c r="M148" i="10" s="1"/>
  <c r="Q99" i="10"/>
  <c r="M99" i="10"/>
  <c r="BM84" i="1"/>
  <c r="I132" i="10"/>
  <c r="BB85" i="1"/>
  <c r="X59" i="10"/>
  <c r="Q114" i="10"/>
  <c r="Q110" i="10"/>
  <c r="X61" i="10"/>
  <c r="BU32" i="1" s="1"/>
  <c r="Q124" i="10"/>
  <c r="Q140" i="10"/>
  <c r="Q133" i="10"/>
  <c r="Q107" i="10"/>
  <c r="I116" i="10"/>
  <c r="CG84" i="1"/>
  <c r="D58" i="1"/>
  <c r="D87" i="1" s="1"/>
  <c r="BA82" i="1"/>
  <c r="BY85" i="1"/>
  <c r="I115" i="10"/>
  <c r="CL85" i="1"/>
  <c r="CT35" i="1"/>
  <c r="H35" i="1"/>
  <c r="N35" i="1"/>
  <c r="CF37" i="1"/>
  <c r="AF37" i="1"/>
  <c r="BA37" i="1"/>
  <c r="BG37" i="1"/>
  <c r="L37" i="1"/>
  <c r="CW35" i="1"/>
  <c r="Y37" i="1"/>
  <c r="E37" i="1"/>
  <c r="AJ37" i="1"/>
  <c r="X37" i="1"/>
  <c r="U37" i="1"/>
  <c r="AT35" i="1"/>
  <c r="BJ82" i="1"/>
  <c r="AX85" i="1"/>
  <c r="I85" i="1"/>
  <c r="AF82" i="1"/>
  <c r="R84" i="1"/>
  <c r="AD84" i="1"/>
  <c r="AD82" i="1"/>
  <c r="AO82" i="1"/>
  <c r="CF85" i="1"/>
  <c r="CR82" i="1"/>
  <c r="AX84" i="1"/>
  <c r="CM85" i="1"/>
  <c r="Y82" i="1"/>
  <c r="CB82" i="1"/>
  <c r="CJ82" i="1"/>
  <c r="CO82" i="1"/>
  <c r="BZ82" i="1"/>
  <c r="CO85" i="1"/>
  <c r="CM84" i="1"/>
  <c r="CW84" i="1"/>
  <c r="BL85" i="1"/>
  <c r="G85" i="1"/>
  <c r="X84" i="1"/>
  <c r="X85" i="1"/>
  <c r="X82" i="1"/>
  <c r="P84" i="1"/>
  <c r="L84" i="1"/>
  <c r="P13" i="12"/>
  <c r="V4" i="12" s="1"/>
  <c r="D50" i="8" s="1"/>
  <c r="Q13" i="12"/>
  <c r="S13" i="12" s="1"/>
  <c r="W4" i="12" s="1"/>
  <c r="Q146" i="10"/>
  <c r="Q145" i="10"/>
  <c r="Q109" i="10"/>
  <c r="Q144" i="10"/>
  <c r="Q142" i="10"/>
  <c r="Q123" i="10"/>
  <c r="Q105" i="10"/>
  <c r="Q138" i="10"/>
  <c r="Q143" i="10"/>
  <c r="Q125" i="10"/>
  <c r="Q117" i="10"/>
  <c r="Q120" i="10"/>
  <c r="Q126" i="10"/>
  <c r="Q136" i="10"/>
  <c r="Q137" i="10"/>
  <c r="Q103" i="10"/>
  <c r="Q121" i="10"/>
  <c r="Q135" i="10"/>
  <c r="Q118" i="10"/>
  <c r="Q102" i="10"/>
  <c r="Q106" i="10"/>
  <c r="Q101" i="10"/>
  <c r="Q115" i="10"/>
  <c r="S11" i="12"/>
  <c r="AC82" i="1"/>
  <c r="Q116" i="10"/>
  <c r="Q141" i="10"/>
  <c r="Q122" i="10"/>
  <c r="Q104" i="10"/>
  <c r="Q134" i="10"/>
  <c r="AM85" i="1"/>
  <c r="CP82" i="1"/>
  <c r="CK84" i="1"/>
  <c r="N84" i="1"/>
  <c r="CU82" i="1"/>
  <c r="CY85" i="1"/>
  <c r="V84" i="1"/>
  <c r="CG85" i="1"/>
  <c r="R85" i="1"/>
  <c r="AK84" i="1"/>
  <c r="K85" i="1"/>
  <c r="AG85" i="1"/>
  <c r="BS84" i="1"/>
  <c r="AZ82" i="1"/>
  <c r="V85" i="1"/>
  <c r="CH84" i="1"/>
  <c r="CH85" i="1"/>
  <c r="BD84" i="1"/>
  <c r="BD85" i="1"/>
  <c r="AJ82" i="1"/>
  <c r="CX82" i="1"/>
  <c r="BN85" i="1"/>
  <c r="BN82" i="1"/>
  <c r="F85" i="1"/>
  <c r="F84" i="1"/>
  <c r="W85" i="1"/>
  <c r="T85" i="1"/>
  <c r="CD82" i="1"/>
  <c r="CD84" i="1"/>
  <c r="BH82" i="1"/>
  <c r="BH85" i="1"/>
  <c r="BH84" i="1"/>
  <c r="AZ84" i="1"/>
  <c r="AZ85" i="1"/>
  <c r="AV82" i="1"/>
  <c r="AP82" i="1"/>
  <c r="AP85" i="1"/>
  <c r="AF84" i="1"/>
  <c r="AF85" i="1"/>
  <c r="AB82" i="1"/>
  <c r="AB85" i="1"/>
  <c r="CT85" i="1"/>
  <c r="BX82" i="1"/>
  <c r="BT85" i="1"/>
  <c r="BT82" i="1"/>
  <c r="CC85" i="1"/>
  <c r="BS82" i="1"/>
  <c r="CC82" i="1"/>
  <c r="BW84" i="1"/>
  <c r="CP85" i="1"/>
  <c r="BR85" i="1"/>
  <c r="BL82" i="1"/>
  <c r="CW85" i="1"/>
  <c r="BZ85" i="1"/>
  <c r="D85" i="1"/>
  <c r="CB84" i="1"/>
  <c r="O85" i="1"/>
  <c r="AJ85" i="1"/>
  <c r="CQ84" i="1"/>
  <c r="CQ85" i="1"/>
  <c r="BU85" i="1"/>
  <c r="BF85" i="1"/>
  <c r="BG82" i="1"/>
  <c r="AS84" i="1"/>
  <c r="AI85" i="1"/>
  <c r="AI84" i="1"/>
  <c r="AA82" i="1"/>
  <c r="AA84" i="1"/>
  <c r="BX84" i="1"/>
  <c r="P85" i="1"/>
  <c r="M84" i="1"/>
  <c r="Z85" i="1"/>
  <c r="CV82" i="1"/>
  <c r="CV85" i="1"/>
  <c r="CF84" i="1"/>
  <c r="CB85" i="1"/>
  <c r="BO82" i="1"/>
  <c r="BO85" i="1"/>
  <c r="AY82" i="1"/>
  <c r="CV84" i="1"/>
  <c r="AK85" i="1"/>
  <c r="CF82" i="1"/>
  <c r="AP84" i="1"/>
  <c r="E85" i="1"/>
  <c r="S85" i="1"/>
  <c r="CU84" i="1"/>
  <c r="CU85" i="1"/>
  <c r="AR85" i="1"/>
  <c r="CE82" i="1"/>
  <c r="BR84" i="1"/>
  <c r="AC84" i="1"/>
  <c r="E84" i="1"/>
  <c r="AV85" i="1"/>
  <c r="BF82" i="1"/>
  <c r="AR82" i="1"/>
  <c r="I84" i="1"/>
  <c r="BE82" i="1"/>
  <c r="BY82" i="1"/>
  <c r="BT84" i="1"/>
  <c r="BE85" i="1"/>
  <c r="CE85" i="1"/>
  <c r="CH82" i="1"/>
  <c r="CX85" i="1"/>
  <c r="AC85" i="1"/>
  <c r="BX85" i="1"/>
  <c r="BY84" i="1"/>
  <c r="L85" i="1"/>
  <c r="G84" i="1"/>
  <c r="BO84" i="1"/>
  <c r="U85" i="1"/>
  <c r="Q85" i="1"/>
  <c r="H85" i="1"/>
  <c r="H84" i="1"/>
  <c r="AN82" i="1"/>
  <c r="AN84" i="1"/>
  <c r="AN85" i="1"/>
  <c r="AD85" i="1"/>
  <c r="Z82" i="1"/>
  <c r="CJ85" i="1"/>
  <c r="BP82" i="1"/>
  <c r="BP85" i="1"/>
  <c r="BM82" i="1"/>
  <c r="BG85" i="1"/>
  <c r="BD82" i="1"/>
  <c r="AT84" i="1"/>
  <c r="CQ82" i="1"/>
  <c r="BJ84" i="1"/>
  <c r="AY84" i="1"/>
  <c r="Y84" i="1"/>
  <c r="CK82" i="1"/>
  <c r="CI84" i="1"/>
  <c r="AS85" i="1"/>
  <c r="AA85" i="1"/>
  <c r="CR84" i="1"/>
  <c r="CS85" i="1"/>
  <c r="AY85" i="1"/>
  <c r="T84" i="1"/>
  <c r="CN82" i="1"/>
  <c r="Y85" i="1"/>
  <c r="CX84" i="1"/>
  <c r="CN84" i="1"/>
  <c r="CK85" i="1"/>
  <c r="O84" i="1"/>
  <c r="BV85" i="1"/>
  <c r="CI82" i="1"/>
  <c r="CT82" i="1"/>
  <c r="BK82" i="1"/>
  <c r="Q84" i="1"/>
  <c r="AW82" i="1"/>
  <c r="CD85" i="1"/>
  <c r="CA84" i="1"/>
  <c r="BW82" i="1"/>
  <c r="BI82" i="1"/>
  <c r="BI85" i="1"/>
  <c r="AU82" i="1"/>
  <c r="AU84" i="1"/>
  <c r="AU85" i="1"/>
  <c r="E5" i="1"/>
  <c r="E61" i="1" s="1"/>
  <c r="E90" i="1" s="1"/>
  <c r="D60" i="1"/>
  <c r="D89" i="1" s="1"/>
  <c r="D59" i="1"/>
  <c r="D61" i="1"/>
  <c r="D90" i="1" s="1"/>
  <c r="AM37" i="1"/>
  <c r="AA37" i="1"/>
  <c r="J37" i="1"/>
  <c r="CX37" i="1"/>
  <c r="CK37" i="1"/>
  <c r="AK37" i="1"/>
  <c r="T37" i="1"/>
  <c r="CM37" i="1"/>
  <c r="BQ37" i="1"/>
  <c r="CH37" i="1"/>
  <c r="BX37" i="1"/>
  <c r="CU37" i="1"/>
  <c r="AC37" i="1"/>
  <c r="BB37" i="1"/>
  <c r="CJ37" i="1"/>
  <c r="CV37" i="1"/>
  <c r="BS37" i="1"/>
  <c r="CY37" i="1"/>
  <c r="AE37" i="1"/>
  <c r="CD37" i="1"/>
  <c r="CR37" i="1"/>
  <c r="R37" i="1"/>
  <c r="D37" i="1"/>
  <c r="BM37" i="1"/>
  <c r="AB37" i="1"/>
  <c r="CS37" i="1"/>
  <c r="V37" i="1"/>
  <c r="CI37" i="1"/>
  <c r="CL37" i="1"/>
  <c r="CE37" i="1"/>
  <c r="W37" i="1"/>
  <c r="AZ37" i="1"/>
  <c r="BT37" i="1"/>
  <c r="F37" i="1"/>
  <c r="BF37" i="1"/>
  <c r="BW37" i="1"/>
  <c r="AN37" i="1"/>
  <c r="I37" i="1"/>
  <c r="BZ37" i="1"/>
  <c r="BR37" i="1"/>
  <c r="CQ37" i="1"/>
  <c r="CW37" i="1"/>
  <c r="S37" i="1"/>
  <c r="CT37" i="1"/>
  <c r="BO37" i="1"/>
  <c r="AY37" i="1"/>
  <c r="CB37" i="1"/>
  <c r="CP37" i="1"/>
  <c r="N37" i="1"/>
  <c r="Z37" i="1"/>
  <c r="Q37" i="1"/>
  <c r="AX37" i="1"/>
  <c r="R54" i="1"/>
  <c r="M54" i="1"/>
  <c r="H54" i="1"/>
  <c r="AB54" i="1"/>
  <c r="W54" i="1"/>
  <c r="I117" i="10" l="1"/>
  <c r="I135" i="10"/>
  <c r="H139" i="10"/>
  <c r="I133" i="10"/>
  <c r="H119" i="10"/>
  <c r="K4" i="12"/>
  <c r="I118" i="10"/>
  <c r="I119" i="10" s="1"/>
  <c r="I134" i="10"/>
  <c r="I137" i="10"/>
  <c r="I136" i="10"/>
  <c r="I138" i="10"/>
  <c r="I139" i="10" s="1"/>
  <c r="I145" i="10" s="1"/>
  <c r="N119" i="10"/>
  <c r="R115" i="10"/>
  <c r="V115" i="10" s="1"/>
  <c r="D21" i="1"/>
  <c r="CE16" i="1"/>
  <c r="X65" i="10"/>
  <c r="BY37" i="1"/>
  <c r="CN37" i="1"/>
  <c r="H37" i="1"/>
  <c r="BD37" i="1"/>
  <c r="BJ37" i="1"/>
  <c r="BU37" i="1"/>
  <c r="BP37" i="1"/>
  <c r="K37" i="1"/>
  <c r="AQ37" i="1"/>
  <c r="AW37" i="1"/>
  <c r="CA37" i="1"/>
  <c r="AO37" i="1"/>
  <c r="BE37" i="1"/>
  <c r="O37" i="1"/>
  <c r="CG37" i="1"/>
  <c r="CO37" i="1"/>
  <c r="AG37" i="1"/>
  <c r="AL37" i="1"/>
  <c r="AT37" i="1"/>
  <c r="AV37" i="1"/>
  <c r="M37" i="1"/>
  <c r="P37" i="1"/>
  <c r="M59" i="10"/>
  <c r="AO22" i="1" s="1"/>
  <c r="AA59" i="10"/>
  <c r="AA62" i="10"/>
  <c r="CX86" i="1"/>
  <c r="BO86" i="1"/>
  <c r="AA60" i="10"/>
  <c r="W62" i="10"/>
  <c r="C50" i="1"/>
  <c r="C52" i="1"/>
  <c r="Z59" i="10"/>
  <c r="AO27" i="1" s="1"/>
  <c r="AA61" i="10"/>
  <c r="AQ17" i="1"/>
  <c r="BW86" i="1"/>
  <c r="AN86" i="1"/>
  <c r="AJ86" i="1"/>
  <c r="AF86" i="1"/>
  <c r="AB86" i="1"/>
  <c r="P86" i="1"/>
  <c r="L86" i="1"/>
  <c r="H86" i="1"/>
  <c r="D52" i="8"/>
  <c r="D54" i="8"/>
  <c r="D155" i="8"/>
  <c r="D87" i="8"/>
  <c r="D119" i="8"/>
  <c r="D101" i="8"/>
  <c r="D69" i="8"/>
  <c r="D137" i="8"/>
  <c r="D130" i="8"/>
  <c r="D146" i="8"/>
  <c r="D162" i="8"/>
  <c r="D78" i="8"/>
  <c r="D94" i="8"/>
  <c r="D110" i="8"/>
  <c r="D140" i="8"/>
  <c r="D156" i="8"/>
  <c r="D72" i="8"/>
  <c r="D88" i="8"/>
  <c r="D104" i="8"/>
  <c r="D120" i="8"/>
  <c r="D107" i="8"/>
  <c r="D75" i="8"/>
  <c r="D143" i="8"/>
  <c r="D113" i="8"/>
  <c r="D81" i="8"/>
  <c r="D149" i="8"/>
  <c r="D131" i="8"/>
  <c r="D163" i="8"/>
  <c r="D95" i="8"/>
  <c r="D125" i="8"/>
  <c r="D93" i="8"/>
  <c r="D161" i="8"/>
  <c r="D129" i="8"/>
  <c r="D134" i="8"/>
  <c r="D150" i="8"/>
  <c r="D126" i="8"/>
  <c r="D82" i="8"/>
  <c r="D98" i="8"/>
  <c r="D114" i="8"/>
  <c r="D128" i="8"/>
  <c r="D144" i="8"/>
  <c r="D160" i="8"/>
  <c r="D76" i="8"/>
  <c r="D92" i="8"/>
  <c r="D108" i="8"/>
  <c r="D124" i="8"/>
  <c r="D71" i="8"/>
  <c r="D85" i="8"/>
  <c r="D138" i="8"/>
  <c r="D70" i="8"/>
  <c r="D102" i="8"/>
  <c r="D148" i="8"/>
  <c r="D80" i="8"/>
  <c r="D112" i="8"/>
  <c r="D115" i="8"/>
  <c r="D67" i="8"/>
  <c r="D127" i="8"/>
  <c r="D105" i="8"/>
  <c r="D165" i="8"/>
  <c r="D79" i="8"/>
  <c r="D77" i="8"/>
  <c r="D142" i="8"/>
  <c r="D74" i="8"/>
  <c r="D106" i="8"/>
  <c r="D152" i="8"/>
  <c r="D84" i="8"/>
  <c r="D116" i="8"/>
  <c r="D99" i="8"/>
  <c r="D159" i="8"/>
  <c r="D97" i="8"/>
  <c r="D157" i="8"/>
  <c r="D139" i="8"/>
  <c r="D103" i="8"/>
  <c r="D117" i="8"/>
  <c r="D153" i="8"/>
  <c r="D66" i="8"/>
  <c r="D154" i="8"/>
  <c r="D86" i="8"/>
  <c r="D118" i="8"/>
  <c r="D132" i="8"/>
  <c r="D164" i="8"/>
  <c r="D96" i="8"/>
  <c r="D91" i="8"/>
  <c r="D151" i="8"/>
  <c r="D89" i="8"/>
  <c r="D141" i="8"/>
  <c r="D73" i="8"/>
  <c r="D123" i="8"/>
  <c r="CO36" i="1"/>
  <c r="D111" i="8"/>
  <c r="BC84" i="1"/>
  <c r="AJ55" i="1"/>
  <c r="AJ33" i="1" s="1"/>
  <c r="AJ34" i="1" s="1"/>
  <c r="BV55" i="1"/>
  <c r="BV33" i="1" s="1"/>
  <c r="BV34" i="1" s="1"/>
  <c r="D121" i="8"/>
  <c r="B138" i="8"/>
  <c r="B113" i="8"/>
  <c r="AY36" i="1" s="1"/>
  <c r="D147" i="8"/>
  <c r="E60" i="1"/>
  <c r="E89" i="1" s="1"/>
  <c r="BQ82" i="1"/>
  <c r="AL82" i="1"/>
  <c r="I153" i="10"/>
  <c r="G43" i="10"/>
  <c r="G45" i="10" s="1"/>
  <c r="D9" i="1" s="1"/>
  <c r="C9" i="1" s="1"/>
  <c r="CJ55" i="1"/>
  <c r="CJ84" i="1" s="1"/>
  <c r="AV55" i="1"/>
  <c r="AV84" i="1" s="1"/>
  <c r="CO55" i="1"/>
  <c r="BF55" i="1"/>
  <c r="BF33" i="1" s="1"/>
  <c r="BF34" i="1" s="1"/>
  <c r="AG55" i="1"/>
  <c r="AG33" i="1" s="1"/>
  <c r="AG34" i="1" s="1"/>
  <c r="CE55" i="1"/>
  <c r="CE33" i="1" s="1"/>
  <c r="BA55" i="1"/>
  <c r="BA84" i="1" s="1"/>
  <c r="W55" i="1"/>
  <c r="W84" i="1" s="1"/>
  <c r="AL55" i="1"/>
  <c r="AL33" i="1" s="1"/>
  <c r="AL34" i="1" s="1"/>
  <c r="CT55" i="1"/>
  <c r="CT84" i="1" s="1"/>
  <c r="AQ55" i="1"/>
  <c r="C68" i="8"/>
  <c r="C100" i="8"/>
  <c r="C132" i="8"/>
  <c r="C114" i="8"/>
  <c r="C82" i="8"/>
  <c r="C150" i="8"/>
  <c r="C143" i="8"/>
  <c r="CC36" i="1" s="1"/>
  <c r="C159" i="8"/>
  <c r="C75" i="8"/>
  <c r="C91" i="8"/>
  <c r="C107" i="8"/>
  <c r="C123" i="8"/>
  <c r="C139" i="8"/>
  <c r="C153" i="8"/>
  <c r="C69" i="8"/>
  <c r="C85" i="8"/>
  <c r="C101" i="8"/>
  <c r="C117" i="8"/>
  <c r="C133" i="8"/>
  <c r="C120" i="8"/>
  <c r="C88" i="8"/>
  <c r="C156" i="8"/>
  <c r="C126" i="8"/>
  <c r="C94" i="8"/>
  <c r="C162" i="8"/>
  <c r="C144" i="8"/>
  <c r="C76" i="8"/>
  <c r="C108" i="8"/>
  <c r="C134" i="8"/>
  <c r="C138" i="8"/>
  <c r="C106" i="8"/>
  <c r="C74" i="8"/>
  <c r="C147" i="8"/>
  <c r="C163" i="8"/>
  <c r="C79" i="8"/>
  <c r="C95" i="8"/>
  <c r="C111" i="8"/>
  <c r="C127" i="8"/>
  <c r="C157" i="8"/>
  <c r="C73" i="8"/>
  <c r="C89" i="8"/>
  <c r="C105" i="8"/>
  <c r="C121" i="8"/>
  <c r="C137" i="8"/>
  <c r="C112" i="8"/>
  <c r="C80" i="8"/>
  <c r="C152" i="8"/>
  <c r="C116" i="8"/>
  <c r="C130" i="8"/>
  <c r="C142" i="8"/>
  <c r="C151" i="8"/>
  <c r="C83" i="8"/>
  <c r="C115" i="8"/>
  <c r="C161" i="8"/>
  <c r="C93" i="8"/>
  <c r="C125" i="8"/>
  <c r="C136" i="8"/>
  <c r="C72" i="8"/>
  <c r="C110" i="8"/>
  <c r="C70" i="8"/>
  <c r="C160" i="8"/>
  <c r="C124" i="8"/>
  <c r="C122" i="8"/>
  <c r="C158" i="8"/>
  <c r="C155" i="8"/>
  <c r="C87" i="8"/>
  <c r="C119" i="8"/>
  <c r="C165" i="8"/>
  <c r="C97" i="8"/>
  <c r="AI36" i="1" s="1"/>
  <c r="C129" i="8"/>
  <c r="C128" i="8"/>
  <c r="C164" i="8"/>
  <c r="C102" i="8"/>
  <c r="C154" i="8"/>
  <c r="C66" i="8"/>
  <c r="C84" i="8"/>
  <c r="C140" i="8"/>
  <c r="C98" i="8"/>
  <c r="C67" i="8"/>
  <c r="C99" i="8"/>
  <c r="C131" i="8"/>
  <c r="C145" i="8"/>
  <c r="C77" i="8"/>
  <c r="C109" i="8"/>
  <c r="C141" i="8"/>
  <c r="C104" i="8"/>
  <c r="C148" i="8"/>
  <c r="C86" i="8"/>
  <c r="C146" i="8"/>
  <c r="J155" i="10"/>
  <c r="C78" i="8"/>
  <c r="D135" i="8"/>
  <c r="B161" i="8"/>
  <c r="C81" i="8"/>
  <c r="D136" i="8"/>
  <c r="C71" i="8"/>
  <c r="D109" i="8"/>
  <c r="B94" i="8"/>
  <c r="AF36" i="1" s="1"/>
  <c r="B88" i="8"/>
  <c r="Z55" i="1"/>
  <c r="Z84" i="1" s="1"/>
  <c r="U55" i="1"/>
  <c r="U33" i="1" s="1"/>
  <c r="U34" i="1" s="1"/>
  <c r="BQ55" i="1"/>
  <c r="BQ84" i="1" s="1"/>
  <c r="AE55" i="1"/>
  <c r="AE33" i="1" s="1"/>
  <c r="AE34" i="1" s="1"/>
  <c r="BL55" i="1"/>
  <c r="BL84" i="1" s="1"/>
  <c r="BG55" i="1"/>
  <c r="BG84" i="1" s="1"/>
  <c r="CF36" i="1"/>
  <c r="D100" i="8"/>
  <c r="D90" i="8"/>
  <c r="BR36" i="1"/>
  <c r="AH82" i="1"/>
  <c r="J84" i="1"/>
  <c r="BC82" i="1"/>
  <c r="W66" i="10"/>
  <c r="AA66" i="10"/>
  <c r="B149" i="8"/>
  <c r="CI36" i="1" s="1"/>
  <c r="B165" i="8"/>
  <c r="CY36" i="1" s="1"/>
  <c r="B119" i="8"/>
  <c r="BE36" i="1" s="1"/>
  <c r="B127" i="8"/>
  <c r="B135" i="8"/>
  <c r="BU36" i="1" s="1"/>
  <c r="B67" i="8"/>
  <c r="E36" i="1" s="1"/>
  <c r="B75" i="8"/>
  <c r="B83" i="8"/>
  <c r="B91" i="8"/>
  <c r="B99" i="8"/>
  <c r="AK36" i="1" s="1"/>
  <c r="B90" i="8"/>
  <c r="B74" i="8"/>
  <c r="B134" i="8"/>
  <c r="BT36" i="1" s="1"/>
  <c r="B117" i="8"/>
  <c r="BC36" i="1" s="1"/>
  <c r="B147" i="8"/>
  <c r="B156" i="8"/>
  <c r="B110" i="8"/>
  <c r="AV36" i="1" s="1"/>
  <c r="B150" i="8"/>
  <c r="CJ36" i="1" s="1"/>
  <c r="B142" i="8"/>
  <c r="B93" i="8"/>
  <c r="B77" i="8"/>
  <c r="O36" i="1" s="1"/>
  <c r="B137" i="8"/>
  <c r="BW36" i="1" s="1"/>
  <c r="B121" i="8"/>
  <c r="BG36" i="1" s="1"/>
  <c r="B153" i="8"/>
  <c r="B151" i="8"/>
  <c r="CK36" i="1" s="1"/>
  <c r="B105" i="8"/>
  <c r="AQ36" i="1" s="1"/>
  <c r="B120" i="8"/>
  <c r="BF36" i="1" s="1"/>
  <c r="B128" i="8"/>
  <c r="BN36" i="1" s="1"/>
  <c r="B136" i="8"/>
  <c r="BV36" i="1" s="1"/>
  <c r="B68" i="8"/>
  <c r="F36" i="1" s="1"/>
  <c r="B76" i="8"/>
  <c r="B84" i="8"/>
  <c r="B92" i="8"/>
  <c r="B100" i="8"/>
  <c r="AL36" i="1" s="1"/>
  <c r="B102" i="8"/>
  <c r="B86" i="8"/>
  <c r="B70" i="8"/>
  <c r="H36" i="1" s="1"/>
  <c r="B130" i="8"/>
  <c r="BP36" i="1" s="1"/>
  <c r="B109" i="8"/>
  <c r="B144" i="8"/>
  <c r="B160" i="8"/>
  <c r="CT36" i="1" s="1"/>
  <c r="CT39" i="1" s="1"/>
  <c r="B114" i="8"/>
  <c r="AZ36" i="1" s="1"/>
  <c r="B154" i="8"/>
  <c r="B108" i="8"/>
  <c r="AT36" i="1" s="1"/>
  <c r="B89" i="8"/>
  <c r="AA36" i="1" s="1"/>
  <c r="B73" i="8"/>
  <c r="K36" i="1" s="1"/>
  <c r="B133" i="8"/>
  <c r="B115" i="8"/>
  <c r="B145" i="8"/>
  <c r="B157" i="8"/>
  <c r="CQ36" i="1" s="1"/>
  <c r="B123" i="8"/>
  <c r="BI36" i="1" s="1"/>
  <c r="B139" i="8"/>
  <c r="B79" i="8"/>
  <c r="Q36" i="1" s="1"/>
  <c r="B95" i="8"/>
  <c r="AG36" i="1" s="1"/>
  <c r="B82" i="8"/>
  <c r="B126" i="8"/>
  <c r="BL36" i="1" s="1"/>
  <c r="B148" i="8"/>
  <c r="CH36" i="1" s="1"/>
  <c r="B118" i="8"/>
  <c r="BD36" i="1" s="1"/>
  <c r="B158" i="8"/>
  <c r="B85" i="8"/>
  <c r="W36" i="1" s="1"/>
  <c r="B129" i="8"/>
  <c r="B159" i="8"/>
  <c r="CS36" i="1" s="1"/>
  <c r="B124" i="8"/>
  <c r="B140" i="8"/>
  <c r="B80" i="8"/>
  <c r="B96" i="8"/>
  <c r="AH36" i="1" s="1"/>
  <c r="B78" i="8"/>
  <c r="P36" i="1" s="1"/>
  <c r="B122" i="8"/>
  <c r="B152" i="8"/>
  <c r="CL36" i="1" s="1"/>
  <c r="B66" i="8"/>
  <c r="D36" i="1" s="1"/>
  <c r="B162" i="8"/>
  <c r="B81" i="8"/>
  <c r="B125" i="8"/>
  <c r="BK36" i="1" s="1"/>
  <c r="B111" i="8"/>
  <c r="AW36" i="1" s="1"/>
  <c r="B131" i="8"/>
  <c r="B71" i="8"/>
  <c r="B87" i="8"/>
  <c r="B103" i="8"/>
  <c r="AO36" i="1" s="1"/>
  <c r="B98" i="8"/>
  <c r="B104" i="8"/>
  <c r="B163" i="8"/>
  <c r="B164" i="8"/>
  <c r="CX36" i="1" s="1"/>
  <c r="B112" i="8"/>
  <c r="B101" i="8"/>
  <c r="B69" i="8"/>
  <c r="B107" i="8"/>
  <c r="AS36" i="1" s="1"/>
  <c r="D68" i="8"/>
  <c r="D158" i="8"/>
  <c r="D145" i="8"/>
  <c r="E58" i="1"/>
  <c r="E87" i="1" s="1"/>
  <c r="J154" i="10"/>
  <c r="J152" i="10"/>
  <c r="J153" i="10"/>
  <c r="I154" i="10"/>
  <c r="BM86" i="1"/>
  <c r="BC86" i="1"/>
  <c r="Z66" i="10"/>
  <c r="D133" i="8"/>
  <c r="C118" i="8"/>
  <c r="D83" i="8"/>
  <c r="B141" i="8"/>
  <c r="CA36" i="1" s="1"/>
  <c r="B116" i="8"/>
  <c r="C149" i="8"/>
  <c r="B106" i="8"/>
  <c r="AR36" i="1" s="1"/>
  <c r="D122" i="8"/>
  <c r="C90" i="8"/>
  <c r="B72" i="8"/>
  <c r="C92" i="8"/>
  <c r="CA86" i="1"/>
  <c r="BQ86" i="1"/>
  <c r="AW86" i="1"/>
  <c r="AE86" i="1"/>
  <c r="AA86" i="1"/>
  <c r="W86" i="1"/>
  <c r="Y61" i="10"/>
  <c r="BK12" i="1" s="1"/>
  <c r="Y60" i="10"/>
  <c r="Y59" i="10"/>
  <c r="AO12" i="1" s="1"/>
  <c r="AA65" i="10"/>
  <c r="AA68" i="10" s="1"/>
  <c r="AK82" i="1"/>
  <c r="AG82" i="1"/>
  <c r="CS82" i="1"/>
  <c r="CL82" i="1"/>
  <c r="BV82" i="1"/>
  <c r="BB82" i="1"/>
  <c r="AH55" i="1"/>
  <c r="AH84" i="1" s="1"/>
  <c r="I155" i="10"/>
  <c r="Z61" i="10"/>
  <c r="BK27" i="1" s="1"/>
  <c r="CI86" i="1"/>
  <c r="BT86" i="1"/>
  <c r="AZ86" i="1"/>
  <c r="AL86" i="1"/>
  <c r="AH86" i="1"/>
  <c r="J86" i="1"/>
  <c r="F86" i="1"/>
  <c r="Z60" i="10"/>
  <c r="CY82" i="1"/>
  <c r="CG82" i="1"/>
  <c r="AM55" i="1"/>
  <c r="AM33" i="1" s="1"/>
  <c r="AM34" i="1" s="1"/>
  <c r="E69" i="8"/>
  <c r="E143" i="8"/>
  <c r="E71" i="8"/>
  <c r="E149" i="8"/>
  <c r="E117" i="8"/>
  <c r="E85" i="8"/>
  <c r="E72" i="8"/>
  <c r="E88" i="8"/>
  <c r="E104" i="8"/>
  <c r="E120" i="8"/>
  <c r="E136" i="8"/>
  <c r="E152" i="8"/>
  <c r="E70" i="8"/>
  <c r="E86" i="8"/>
  <c r="E102" i="8"/>
  <c r="E118" i="8"/>
  <c r="E134" i="8"/>
  <c r="E150" i="8"/>
  <c r="E66" i="8"/>
  <c r="E151" i="8"/>
  <c r="E95" i="8"/>
  <c r="E155" i="8"/>
  <c r="E123" i="8"/>
  <c r="E91" i="8"/>
  <c r="E153" i="8"/>
  <c r="E121" i="8"/>
  <c r="E89" i="8"/>
  <c r="E119" i="8"/>
  <c r="E141" i="8"/>
  <c r="E109" i="8"/>
  <c r="E77" i="8"/>
  <c r="E76" i="8"/>
  <c r="E92" i="8"/>
  <c r="E108" i="8"/>
  <c r="E124" i="8"/>
  <c r="E140" i="8"/>
  <c r="E156" i="8"/>
  <c r="E74" i="8"/>
  <c r="E90" i="8"/>
  <c r="E106" i="8"/>
  <c r="E122" i="8"/>
  <c r="E138" i="8"/>
  <c r="E154" i="8"/>
  <c r="E135" i="8"/>
  <c r="E79" i="8"/>
  <c r="Z65" i="10"/>
  <c r="CM86" i="1"/>
  <c r="BI86" i="1"/>
  <c r="M86" i="1"/>
  <c r="AM82" i="1"/>
  <c r="AW55" i="1"/>
  <c r="AW33" i="1" s="1"/>
  <c r="AW34" i="1" s="1"/>
  <c r="X62" i="10"/>
  <c r="CE21" i="1"/>
  <c r="BK21" i="1"/>
  <c r="N139" i="10"/>
  <c r="F5" i="1"/>
  <c r="E59" i="1"/>
  <c r="E88" i="1" s="1"/>
  <c r="AJ84" i="1"/>
  <c r="BK19" i="1"/>
  <c r="W19" i="1"/>
  <c r="AB33" i="1"/>
  <c r="AB34" i="1" s="1"/>
  <c r="Z33" i="1"/>
  <c r="Z34" i="1" s="1"/>
  <c r="AQ84" i="1"/>
  <c r="R100" i="10"/>
  <c r="V100" i="10" s="1"/>
  <c r="AQ15" i="1"/>
  <c r="W15" i="1"/>
  <c r="R132" i="10"/>
  <c r="V132" i="10" s="1"/>
  <c r="AR84" i="1"/>
  <c r="BK84" i="1"/>
  <c r="CY33" i="1"/>
  <c r="CY34" i="1" s="1"/>
  <c r="R99" i="10"/>
  <c r="V99" i="10" s="1"/>
  <c r="M111" i="10"/>
  <c r="R131" i="10"/>
  <c r="V131" i="10" s="1"/>
  <c r="I103" i="10"/>
  <c r="I101" i="10"/>
  <c r="I102" i="10"/>
  <c r="I100" i="10"/>
  <c r="I104" i="10"/>
  <c r="R114" i="10"/>
  <c r="S114" i="10" s="1"/>
  <c r="CO84" i="1"/>
  <c r="CO33" i="1"/>
  <c r="CO34" i="1" s="1"/>
  <c r="BB33" i="1"/>
  <c r="BB34" i="1" s="1"/>
  <c r="BZ84" i="1"/>
  <c r="BZ33" i="1"/>
  <c r="BZ34" i="1" s="1"/>
  <c r="CS33" i="1"/>
  <c r="CS34" i="1" s="1"/>
  <c r="BP33" i="1"/>
  <c r="BP34" i="1" s="1"/>
  <c r="CT33" i="1"/>
  <c r="CT34" i="1" s="1"/>
  <c r="BK17" i="1"/>
  <c r="AQ16" i="1"/>
  <c r="BK16" i="1"/>
  <c r="CE20" i="1"/>
  <c r="AQ20" i="1"/>
  <c r="BK20" i="1"/>
  <c r="CE19" i="1"/>
  <c r="BU14" i="1"/>
  <c r="C14" i="1" s="1"/>
  <c r="G54" i="10"/>
  <c r="AI35" i="1"/>
  <c r="AP35" i="1"/>
  <c r="CP35" i="1"/>
  <c r="CY35" i="1"/>
  <c r="CV35" i="1"/>
  <c r="BG35" i="1"/>
  <c r="AC35" i="1"/>
  <c r="BP35" i="1"/>
  <c r="BL35" i="1"/>
  <c r="CF35" i="1"/>
  <c r="CK35" i="1"/>
  <c r="R35" i="1"/>
  <c r="Z35" i="1"/>
  <c r="M35" i="1"/>
  <c r="X35" i="1"/>
  <c r="AM35" i="1"/>
  <c r="CG35" i="1"/>
  <c r="CI35" i="1"/>
  <c r="BY35" i="1"/>
  <c r="BI35" i="1"/>
  <c r="BR35" i="1"/>
  <c r="BA35" i="1"/>
  <c r="CX35" i="1"/>
  <c r="AU35" i="1"/>
  <c r="T35" i="1"/>
  <c r="BU35" i="1"/>
  <c r="S35" i="1"/>
  <c r="P35" i="1"/>
  <c r="AF35" i="1"/>
  <c r="Q35" i="1"/>
  <c r="I35" i="1"/>
  <c r="CB35" i="1"/>
  <c r="CH35" i="1"/>
  <c r="CQ35" i="1"/>
  <c r="BQ35" i="1"/>
  <c r="CN35" i="1"/>
  <c r="CU35" i="1"/>
  <c r="CJ35" i="1"/>
  <c r="CM35" i="1"/>
  <c r="BK35" i="1"/>
  <c r="CS35" i="1"/>
  <c r="CA35" i="1"/>
  <c r="AY35" i="1"/>
  <c r="Y35" i="1"/>
  <c r="G35" i="1"/>
  <c r="K35" i="1"/>
  <c r="F35" i="1"/>
  <c r="AR35" i="1"/>
  <c r="BM35" i="1"/>
  <c r="CL35" i="1"/>
  <c r="BZ35" i="1"/>
  <c r="BJ35" i="1"/>
  <c r="CR35" i="1"/>
  <c r="CO35" i="1"/>
  <c r="S68" i="10"/>
  <c r="M65" i="10"/>
  <c r="M68" i="10" s="1"/>
  <c r="D23" i="1" s="1"/>
  <c r="C23" i="1" s="1"/>
  <c r="M66" i="10"/>
  <c r="CY84" i="1"/>
  <c r="BN35" i="1"/>
  <c r="BW35" i="1"/>
  <c r="BC35" i="1"/>
  <c r="BE35" i="1"/>
  <c r="AJ35" i="1"/>
  <c r="AK35" i="1"/>
  <c r="AE35" i="1"/>
  <c r="O35" i="1"/>
  <c r="AH35" i="1"/>
  <c r="AA35" i="1"/>
  <c r="E35" i="1"/>
  <c r="AN35" i="1"/>
  <c r="W35" i="1"/>
  <c r="CE35" i="1"/>
  <c r="AS35" i="1"/>
  <c r="AX35" i="1"/>
  <c r="BB35" i="1"/>
  <c r="AW35" i="1"/>
  <c r="AV35" i="1"/>
  <c r="CC35" i="1"/>
  <c r="BX35" i="1"/>
  <c r="AD37" i="1"/>
  <c r="BK37" i="1"/>
  <c r="AR37" i="1"/>
  <c r="AP37" i="1"/>
  <c r="BI37" i="1"/>
  <c r="CC37" i="1"/>
  <c r="AU37" i="1"/>
  <c r="BC37" i="1"/>
  <c r="AH37" i="1"/>
  <c r="BL37" i="1"/>
  <c r="AI37" i="1"/>
  <c r="BD35" i="1"/>
  <c r="BF35" i="1"/>
  <c r="BH35" i="1"/>
  <c r="BH37" i="1"/>
  <c r="G37" i="1"/>
  <c r="BN37" i="1"/>
  <c r="BV37" i="1"/>
  <c r="AD35" i="1"/>
  <c r="AQ35" i="1"/>
  <c r="V35" i="1"/>
  <c r="L35" i="1"/>
  <c r="AL35" i="1"/>
  <c r="AG35" i="1"/>
  <c r="U35" i="1"/>
  <c r="AB35" i="1"/>
  <c r="AO35" i="1"/>
  <c r="BV35" i="1"/>
  <c r="BS35" i="1"/>
  <c r="AZ35" i="1"/>
  <c r="BO35" i="1"/>
  <c r="CD35" i="1"/>
  <c r="BT35" i="1"/>
  <c r="R68" i="10"/>
  <c r="R137" i="10"/>
  <c r="V137" i="10" s="1"/>
  <c r="R123" i="10"/>
  <c r="V123" i="10" s="1"/>
  <c r="I124" i="10"/>
  <c r="R109" i="10"/>
  <c r="V109" i="10" s="1"/>
  <c r="CE15" i="1"/>
  <c r="BK15" i="1"/>
  <c r="Q127" i="10"/>
  <c r="P119" i="10"/>
  <c r="P139" i="10"/>
  <c r="R118" i="10"/>
  <c r="V118" i="10" s="1"/>
  <c r="R105" i="10"/>
  <c r="V105" i="10" s="1"/>
  <c r="R103" i="10"/>
  <c r="V103" i="10" s="1"/>
  <c r="I108" i="10"/>
  <c r="R116" i="10"/>
  <c r="V116" i="10" s="1"/>
  <c r="N111" i="10"/>
  <c r="N127" i="10"/>
  <c r="R107" i="10"/>
  <c r="V107" i="10" s="1"/>
  <c r="R133" i="10"/>
  <c r="V133" i="10" s="1"/>
  <c r="R136" i="10"/>
  <c r="V136" i="10" s="1"/>
  <c r="O119" i="10"/>
  <c r="Q139" i="10"/>
  <c r="R120" i="10"/>
  <c r="V120" i="10" s="1"/>
  <c r="R124" i="10"/>
  <c r="V124" i="10" s="1"/>
  <c r="Q119" i="10"/>
  <c r="R138" i="10"/>
  <c r="V138" i="10" s="1"/>
  <c r="R135" i="10"/>
  <c r="V135" i="10" s="1"/>
  <c r="R117" i="10"/>
  <c r="V117" i="10" s="1"/>
  <c r="O127" i="10"/>
  <c r="R145" i="10"/>
  <c r="V145" i="10" s="1"/>
  <c r="CD29" i="1"/>
  <c r="S64" i="10"/>
  <c r="CB29" i="1"/>
  <c r="CS84" i="1"/>
  <c r="N59" i="10"/>
  <c r="AO24" i="1" s="1"/>
  <c r="AY32" i="1"/>
  <c r="AY34" i="1" s="1"/>
  <c r="N66" i="10"/>
  <c r="I110" i="10"/>
  <c r="I107" i="10"/>
  <c r="R101" i="10"/>
  <c r="V101" i="10" s="1"/>
  <c r="O111" i="10"/>
  <c r="O147" i="10"/>
  <c r="R140" i="10"/>
  <c r="V140" i="10" s="1"/>
  <c r="R104" i="10"/>
  <c r="V104" i="10" s="1"/>
  <c r="P111" i="10"/>
  <c r="D88" i="1"/>
  <c r="N147" i="10"/>
  <c r="I126" i="10"/>
  <c r="H127" i="10"/>
  <c r="BU84" i="1"/>
  <c r="R134" i="10"/>
  <c r="V134" i="10" s="1"/>
  <c r="R102" i="10"/>
  <c r="V102" i="10" s="1"/>
  <c r="R106" i="10"/>
  <c r="V106" i="10" s="1"/>
  <c r="R126" i="10"/>
  <c r="V126" i="10" s="1"/>
  <c r="R122" i="10"/>
  <c r="V122" i="10" s="1"/>
  <c r="R108" i="10"/>
  <c r="V108" i="10" s="1"/>
  <c r="H111" i="10"/>
  <c r="I105" i="10"/>
  <c r="I109" i="10"/>
  <c r="P147" i="10"/>
  <c r="R144" i="10"/>
  <c r="V144" i="10" s="1"/>
  <c r="H147" i="10"/>
  <c r="Q147" i="10"/>
  <c r="R110" i="10"/>
  <c r="P127" i="10"/>
  <c r="Q111" i="10"/>
  <c r="I106" i="10"/>
  <c r="O139" i="10"/>
  <c r="R121" i="10"/>
  <c r="R146" i="10"/>
  <c r="V146" i="10" s="1"/>
  <c r="R142" i="10"/>
  <c r="V142" i="10" s="1"/>
  <c r="R125" i="10"/>
  <c r="V125" i="10" s="1"/>
  <c r="R143" i="10"/>
  <c r="R141" i="10"/>
  <c r="V141" i="10" s="1"/>
  <c r="N62" i="10"/>
  <c r="M62" i="10"/>
  <c r="X66" i="10"/>
  <c r="X68" i="10" s="1"/>
  <c r="AB84" i="1"/>
  <c r="N65" i="10"/>
  <c r="Q68" i="10"/>
  <c r="BP84" i="1"/>
  <c r="AG84" i="1"/>
  <c r="Q64" i="10"/>
  <c r="W61" i="10"/>
  <c r="BK26" i="1" s="1"/>
  <c r="X60" i="10"/>
  <c r="CK32" i="1" s="1"/>
  <c r="W60" i="10"/>
  <c r="M60" i="10"/>
  <c r="P60" i="10" s="1"/>
  <c r="U60" i="10" s="1"/>
  <c r="W68" i="10"/>
  <c r="R64" i="10"/>
  <c r="BK56" i="1"/>
  <c r="BK85" i="1" s="1"/>
  <c r="J61" i="10"/>
  <c r="M61" i="10"/>
  <c r="BB84" i="1"/>
  <c r="J60" i="10"/>
  <c r="CA56" i="1"/>
  <c r="CA85" i="1" s="1"/>
  <c r="CC29" i="1"/>
  <c r="I59" i="10"/>
  <c r="AO56" i="1"/>
  <c r="C38" i="1"/>
  <c r="H148" i="10" l="1"/>
  <c r="H128" i="10"/>
  <c r="I122" i="10"/>
  <c r="I121" i="10"/>
  <c r="I125" i="10"/>
  <c r="I120" i="10"/>
  <c r="I123" i="10"/>
  <c r="I146" i="10"/>
  <c r="I148" i="10" s="1"/>
  <c r="J148" i="10" s="1"/>
  <c r="I142" i="10"/>
  <c r="I143" i="10"/>
  <c r="I144" i="10"/>
  <c r="I140" i="10"/>
  <c r="I141" i="10"/>
  <c r="N148" i="10"/>
  <c r="S115" i="10"/>
  <c r="W115" i="10" s="1"/>
  <c r="N128" i="10"/>
  <c r="CA27" i="1"/>
  <c r="BA33" i="1"/>
  <c r="BA34" i="1" s="1"/>
  <c r="W33" i="1"/>
  <c r="AM84" i="1"/>
  <c r="U84" i="1"/>
  <c r="Z64" i="10"/>
  <c r="I156" i="10"/>
  <c r="H39" i="1"/>
  <c r="AA64" i="10"/>
  <c r="D28" i="1" s="1"/>
  <c r="C28" i="1" s="1"/>
  <c r="AV33" i="1"/>
  <c r="AV34" i="1" s="1"/>
  <c r="AE84" i="1"/>
  <c r="C17" i="1"/>
  <c r="C21" i="1"/>
  <c r="G29" i="1"/>
  <c r="O39" i="1"/>
  <c r="AL84" i="1"/>
  <c r="CE84" i="1"/>
  <c r="CJ33" i="1"/>
  <c r="CJ34" i="1" s="1"/>
  <c r="AF39" i="1"/>
  <c r="BF39" i="1"/>
  <c r="P39" i="1"/>
  <c r="BV84" i="1"/>
  <c r="BE39" i="1"/>
  <c r="BG39" i="1"/>
  <c r="BG33" i="1"/>
  <c r="BG34" i="1" s="1"/>
  <c r="AT39" i="1"/>
  <c r="CH39" i="1"/>
  <c r="BR39" i="1"/>
  <c r="W39" i="1"/>
  <c r="J156" i="10"/>
  <c r="S99" i="1" s="1"/>
  <c r="S101" i="1" s="1"/>
  <c r="S99" i="10"/>
  <c r="S100" i="10" s="1"/>
  <c r="W100" i="10" s="1"/>
  <c r="X64" i="10"/>
  <c r="M32" i="1" s="1"/>
  <c r="C32" i="1" s="1"/>
  <c r="AO33" i="1"/>
  <c r="AO34" i="1" s="1"/>
  <c r="Z68" i="10"/>
  <c r="P66" i="10"/>
  <c r="U66" i="10" s="1"/>
  <c r="AG39" i="1"/>
  <c r="AQ39" i="1"/>
  <c r="BD39" i="1"/>
  <c r="W99" i="10"/>
  <c r="AW84" i="1"/>
  <c r="CS39" i="1"/>
  <c r="C55" i="1"/>
  <c r="F29" i="1"/>
  <c r="AR39" i="1"/>
  <c r="AO39" i="1"/>
  <c r="BP39" i="1"/>
  <c r="AH33" i="1"/>
  <c r="AH34" i="1" s="1"/>
  <c r="G36" i="1"/>
  <c r="G39" i="1" s="1"/>
  <c r="Y36" i="1"/>
  <c r="Y39" i="1" s="1"/>
  <c r="CE36" i="1"/>
  <c r="CE39" i="1" s="1"/>
  <c r="AC36" i="1"/>
  <c r="AC39" i="1" s="1"/>
  <c r="CU36" i="1"/>
  <c r="CU39" i="1" s="1"/>
  <c r="CA12" i="1"/>
  <c r="C12" i="1" s="1"/>
  <c r="BF84" i="1"/>
  <c r="AZ39" i="1"/>
  <c r="AV39" i="1"/>
  <c r="AS39" i="1"/>
  <c r="E39" i="1"/>
  <c r="F39" i="1"/>
  <c r="AY39" i="1"/>
  <c r="CX39" i="1"/>
  <c r="CK39" i="1"/>
  <c r="BQ33" i="1"/>
  <c r="BQ34" i="1" s="1"/>
  <c r="J36" i="1"/>
  <c r="J39" i="1" s="1"/>
  <c r="AM36" i="1"/>
  <c r="AM39" i="1" s="1"/>
  <c r="AP36" i="1"/>
  <c r="AP39" i="1" s="1"/>
  <c r="I36" i="1"/>
  <c r="I39" i="1" s="1"/>
  <c r="S36" i="1"/>
  <c r="S39" i="1" s="1"/>
  <c r="BH36" i="1"/>
  <c r="BH39" i="1" s="1"/>
  <c r="BZ36" i="1"/>
  <c r="BZ39" i="1" s="1"/>
  <c r="BY36" i="1"/>
  <c r="BY39" i="1" s="1"/>
  <c r="BA36" i="1"/>
  <c r="BA39" i="1" s="1"/>
  <c r="CD36" i="1"/>
  <c r="CD39" i="1" s="1"/>
  <c r="X36" i="1"/>
  <c r="X39" i="1" s="1"/>
  <c r="V36" i="1"/>
  <c r="V39" i="1" s="1"/>
  <c r="CM36" i="1"/>
  <c r="CM39" i="1" s="1"/>
  <c r="AE36" i="1"/>
  <c r="AE39" i="1" s="1"/>
  <c r="CP36" i="1"/>
  <c r="CP39" i="1" s="1"/>
  <c r="L36" i="1"/>
  <c r="L39" i="1" s="1"/>
  <c r="U36" i="1"/>
  <c r="U39" i="1" s="1"/>
  <c r="BM36" i="1"/>
  <c r="BM39" i="1" s="1"/>
  <c r="BX36" i="1"/>
  <c r="BX39" i="1" s="1"/>
  <c r="D39" i="1"/>
  <c r="AL39" i="1"/>
  <c r="CY39" i="1"/>
  <c r="CW36" i="1"/>
  <c r="CW39" i="1" s="1"/>
  <c r="R36" i="1"/>
  <c r="R39" i="1" s="1"/>
  <c r="BO36" i="1"/>
  <c r="BO39" i="1" s="1"/>
  <c r="AD36" i="1"/>
  <c r="AD39" i="1" s="1"/>
  <c r="N64" i="10"/>
  <c r="D24" i="1" s="1"/>
  <c r="BT39" i="1"/>
  <c r="AW39" i="1"/>
  <c r="AA39" i="1"/>
  <c r="AK39" i="1"/>
  <c r="BW39" i="1"/>
  <c r="CO39" i="1"/>
  <c r="CL39" i="1"/>
  <c r="K39" i="1"/>
  <c r="CA39" i="1"/>
  <c r="CJ39" i="1"/>
  <c r="CQ39" i="1"/>
  <c r="Q39" i="1"/>
  <c r="BU39" i="1"/>
  <c r="CI39" i="1"/>
  <c r="CF39" i="1"/>
  <c r="BB36" i="1"/>
  <c r="BB39" i="1" s="1"/>
  <c r="AX36" i="1"/>
  <c r="AX39" i="1" s="1"/>
  <c r="AJ36" i="1"/>
  <c r="AJ39" i="1" s="1"/>
  <c r="BQ36" i="1"/>
  <c r="BQ39" i="1" s="1"/>
  <c r="CV36" i="1"/>
  <c r="CV39" i="1" s="1"/>
  <c r="BJ36" i="1"/>
  <c r="BJ39" i="1" s="1"/>
  <c r="CR36" i="1"/>
  <c r="CR39" i="1" s="1"/>
  <c r="T36" i="1"/>
  <c r="T39" i="1" s="1"/>
  <c r="BS36" i="1"/>
  <c r="BS39" i="1" s="1"/>
  <c r="CN36" i="1"/>
  <c r="CN39" i="1" s="1"/>
  <c r="AU36" i="1"/>
  <c r="AU39" i="1" s="1"/>
  <c r="AN36" i="1"/>
  <c r="AN39" i="1" s="1"/>
  <c r="N36" i="1"/>
  <c r="N39" i="1" s="1"/>
  <c r="CB36" i="1"/>
  <c r="CB39" i="1" s="1"/>
  <c r="CG36" i="1"/>
  <c r="CG39" i="1" s="1"/>
  <c r="AB36" i="1"/>
  <c r="AB39" i="1" s="1"/>
  <c r="M36" i="1"/>
  <c r="M39" i="1" s="1"/>
  <c r="Z36" i="1"/>
  <c r="Z39" i="1" s="1"/>
  <c r="P62" i="10"/>
  <c r="V62" i="10" s="1"/>
  <c r="F61" i="1"/>
  <c r="F58" i="1"/>
  <c r="F59" i="1"/>
  <c r="F60" i="1"/>
  <c r="G5" i="1"/>
  <c r="BS99" i="1"/>
  <c r="BS101" i="1" s="1"/>
  <c r="W131" i="10"/>
  <c r="S131" i="10"/>
  <c r="S132" i="10" s="1"/>
  <c r="W132" i="10" s="1"/>
  <c r="V114" i="10"/>
  <c r="V119" i="10" s="1"/>
  <c r="W114" i="10"/>
  <c r="BU34" i="1"/>
  <c r="C19" i="1"/>
  <c r="BL39" i="1"/>
  <c r="C20" i="1"/>
  <c r="C16" i="1"/>
  <c r="CE34" i="1"/>
  <c r="BV39" i="1"/>
  <c r="BC39" i="1"/>
  <c r="AH39" i="1"/>
  <c r="BN39" i="1"/>
  <c r="CC39" i="1"/>
  <c r="BK39" i="1"/>
  <c r="BI39" i="1"/>
  <c r="CA24" i="1"/>
  <c r="P59" i="10"/>
  <c r="V59" i="10" s="1"/>
  <c r="AR30" i="1" s="1"/>
  <c r="C37" i="1"/>
  <c r="C35" i="1"/>
  <c r="W34" i="1"/>
  <c r="CA22" i="1"/>
  <c r="AI39" i="1"/>
  <c r="N68" i="10"/>
  <c r="D25" i="1" s="1"/>
  <c r="C25" i="1" s="1"/>
  <c r="Q148" i="10"/>
  <c r="P128" i="10"/>
  <c r="C15" i="1"/>
  <c r="Q128" i="10"/>
  <c r="P148" i="10"/>
  <c r="V139" i="10"/>
  <c r="O128" i="10"/>
  <c r="R119" i="10"/>
  <c r="R139" i="10"/>
  <c r="O148" i="10"/>
  <c r="CK34" i="1"/>
  <c r="V66" i="10"/>
  <c r="T66" i="10"/>
  <c r="I111" i="10"/>
  <c r="R147" i="10"/>
  <c r="R111" i="10"/>
  <c r="V110" i="10"/>
  <c r="V111" i="10" s="1"/>
  <c r="V143" i="10"/>
  <c r="V147" i="10" s="1"/>
  <c r="I127" i="10"/>
  <c r="I128" i="10"/>
  <c r="V121" i="10"/>
  <c r="V127" i="10" s="1"/>
  <c r="R127" i="10"/>
  <c r="E29" i="1"/>
  <c r="P65" i="10"/>
  <c r="W64" i="10"/>
  <c r="D26" i="1" s="1"/>
  <c r="CA26" i="1"/>
  <c r="J69" i="10"/>
  <c r="AV57" i="1" s="1"/>
  <c r="AV86" i="1" s="1"/>
  <c r="T60" i="10"/>
  <c r="V60" i="10"/>
  <c r="P61" i="10"/>
  <c r="BK22" i="1"/>
  <c r="BK33" i="1" s="1"/>
  <c r="M64" i="10"/>
  <c r="D22" i="1" s="1"/>
  <c r="AO85" i="1"/>
  <c r="C85" i="1" s="1"/>
  <c r="C56" i="1"/>
  <c r="S116" i="10" l="1"/>
  <c r="S117" i="10" s="1"/>
  <c r="I147" i="10"/>
  <c r="D54" i="1"/>
  <c r="D27" i="1"/>
  <c r="J128" i="10"/>
  <c r="J111" i="10"/>
  <c r="S101" i="10"/>
  <c r="S102" i="10" s="1"/>
  <c r="S103" i="10" s="1"/>
  <c r="U62" i="10"/>
  <c r="C27" i="1"/>
  <c r="T51" i="1"/>
  <c r="T53" i="1" s="1"/>
  <c r="T82" i="1" s="1"/>
  <c r="S51" i="1"/>
  <c r="S53" i="1" s="1"/>
  <c r="S82" i="1" s="1"/>
  <c r="W51" i="1"/>
  <c r="W53" i="1" s="1"/>
  <c r="W82" i="1" s="1"/>
  <c r="E51" i="1"/>
  <c r="E53" i="1" s="1"/>
  <c r="E82" i="1" s="1"/>
  <c r="F51" i="1"/>
  <c r="F53" i="1" s="1"/>
  <c r="F82" i="1" s="1"/>
  <c r="N51" i="1"/>
  <c r="N53" i="1" s="1"/>
  <c r="N82" i="1" s="1"/>
  <c r="D51" i="1"/>
  <c r="Q51" i="1"/>
  <c r="Q53" i="1" s="1"/>
  <c r="Q82" i="1" s="1"/>
  <c r="V51" i="1"/>
  <c r="V53" i="1" s="1"/>
  <c r="V82" i="1" s="1"/>
  <c r="O51" i="1"/>
  <c r="O53" i="1" s="1"/>
  <c r="O82" i="1" s="1"/>
  <c r="I51" i="1"/>
  <c r="I53" i="1" s="1"/>
  <c r="I82" i="1" s="1"/>
  <c r="R51" i="1"/>
  <c r="R53" i="1" s="1"/>
  <c r="R82" i="1" s="1"/>
  <c r="J51" i="1"/>
  <c r="J53" i="1" s="1"/>
  <c r="J82" i="1" s="1"/>
  <c r="L51" i="1"/>
  <c r="L53" i="1" s="1"/>
  <c r="L82" i="1" s="1"/>
  <c r="K51" i="1"/>
  <c r="K53" i="1" s="1"/>
  <c r="K82" i="1" s="1"/>
  <c r="U51" i="1"/>
  <c r="U53" i="1" s="1"/>
  <c r="U82" i="1" s="1"/>
  <c r="G51" i="1"/>
  <c r="G53" i="1" s="1"/>
  <c r="G82" i="1" s="1"/>
  <c r="P51" i="1"/>
  <c r="P53" i="1" s="1"/>
  <c r="P82" i="1" s="1"/>
  <c r="H51" i="1"/>
  <c r="H53" i="1" s="1"/>
  <c r="H82" i="1" s="1"/>
  <c r="M51" i="1"/>
  <c r="M53" i="1" s="1"/>
  <c r="M82" i="1" s="1"/>
  <c r="AV99" i="1"/>
  <c r="AV101" i="1" s="1"/>
  <c r="M99" i="1"/>
  <c r="M101" i="1" s="1"/>
  <c r="E99" i="1"/>
  <c r="E101" i="1" s="1"/>
  <c r="Z99" i="1"/>
  <c r="Z101" i="1" s="1"/>
  <c r="AQ99" i="1"/>
  <c r="AQ101" i="1" s="1"/>
  <c r="AC99" i="1"/>
  <c r="AC101" i="1" s="1"/>
  <c r="BJ99" i="1"/>
  <c r="BJ101" i="1" s="1"/>
  <c r="AH99" i="1"/>
  <c r="AH101" i="1" s="1"/>
  <c r="BU99" i="1"/>
  <c r="BU101" i="1" s="1"/>
  <c r="AB99" i="1"/>
  <c r="AB101" i="1" s="1"/>
  <c r="CO99" i="1"/>
  <c r="CO101" i="1" s="1"/>
  <c r="U99" i="1"/>
  <c r="U101" i="1" s="1"/>
  <c r="CQ99" i="1"/>
  <c r="CQ101" i="1" s="1"/>
  <c r="T99" i="1"/>
  <c r="T101" i="1" s="1"/>
  <c r="BM99" i="1"/>
  <c r="BM101" i="1" s="1"/>
  <c r="F99" i="1"/>
  <c r="F101" i="1" s="1"/>
  <c r="BH99" i="1"/>
  <c r="BH101" i="1" s="1"/>
  <c r="AD99" i="1"/>
  <c r="AD101" i="1" s="1"/>
  <c r="BI99" i="1"/>
  <c r="BI101" i="1" s="1"/>
  <c r="CE99" i="1"/>
  <c r="CE101" i="1" s="1"/>
  <c r="BO99" i="1"/>
  <c r="BO101" i="1" s="1"/>
  <c r="G99" i="1"/>
  <c r="G101" i="1" s="1"/>
  <c r="V99" i="1"/>
  <c r="V101" i="1" s="1"/>
  <c r="CU99" i="1"/>
  <c r="CU101" i="1" s="1"/>
  <c r="CF99" i="1"/>
  <c r="CF101" i="1" s="1"/>
  <c r="CI99" i="1"/>
  <c r="CI101" i="1" s="1"/>
  <c r="BN99" i="1"/>
  <c r="BN101" i="1" s="1"/>
  <c r="AX99" i="1"/>
  <c r="AX101" i="1" s="1"/>
  <c r="BT99" i="1"/>
  <c r="BT101" i="1" s="1"/>
  <c r="R99" i="1"/>
  <c r="R101" i="1" s="1"/>
  <c r="AP99" i="1"/>
  <c r="AP101" i="1" s="1"/>
  <c r="AY99" i="1"/>
  <c r="AY101" i="1" s="1"/>
  <c r="AM99" i="1"/>
  <c r="AM101" i="1" s="1"/>
  <c r="AZ99" i="1"/>
  <c r="AZ101" i="1" s="1"/>
  <c r="AO99" i="1"/>
  <c r="AO101" i="1" s="1"/>
  <c r="BD99" i="1"/>
  <c r="BD101" i="1" s="1"/>
  <c r="BZ99" i="1"/>
  <c r="BZ101" i="1" s="1"/>
  <c r="CW99" i="1"/>
  <c r="CW101" i="1" s="1"/>
  <c r="CY99" i="1"/>
  <c r="CY101" i="1" s="1"/>
  <c r="BR99" i="1"/>
  <c r="BR101" i="1" s="1"/>
  <c r="CJ99" i="1"/>
  <c r="CJ101" i="1" s="1"/>
  <c r="CX99" i="1"/>
  <c r="CX101" i="1" s="1"/>
  <c r="AN99" i="1"/>
  <c r="AN101" i="1" s="1"/>
  <c r="CR99" i="1"/>
  <c r="CR101" i="1" s="1"/>
  <c r="CP99" i="1"/>
  <c r="CP101" i="1" s="1"/>
  <c r="Q99" i="1"/>
  <c r="Q101" i="1" s="1"/>
  <c r="CA99" i="1"/>
  <c r="CA101" i="1" s="1"/>
  <c r="BL99" i="1"/>
  <c r="BL101" i="1" s="1"/>
  <c r="AI99" i="1"/>
  <c r="AI101" i="1" s="1"/>
  <c r="AA99" i="1"/>
  <c r="AA101" i="1" s="1"/>
  <c r="BV99" i="1"/>
  <c r="BV101" i="1" s="1"/>
  <c r="CL99" i="1"/>
  <c r="CL101" i="1" s="1"/>
  <c r="BE99" i="1"/>
  <c r="BE101" i="1" s="1"/>
  <c r="CN99" i="1"/>
  <c r="CN101" i="1" s="1"/>
  <c r="D99" i="1"/>
  <c r="D101" i="1" s="1"/>
  <c r="BX99" i="1"/>
  <c r="BX101" i="1" s="1"/>
  <c r="BB99" i="1"/>
  <c r="BB101" i="1" s="1"/>
  <c r="BG99" i="1"/>
  <c r="BG101" i="1" s="1"/>
  <c r="BK99" i="1"/>
  <c r="BK101" i="1" s="1"/>
  <c r="W99" i="1"/>
  <c r="W101" i="1" s="1"/>
  <c r="BP99" i="1"/>
  <c r="BP101" i="1" s="1"/>
  <c r="K99" i="1"/>
  <c r="K101" i="1" s="1"/>
  <c r="BY99" i="1"/>
  <c r="BY101" i="1" s="1"/>
  <c r="CD99" i="1"/>
  <c r="CD101" i="1" s="1"/>
  <c r="BF99" i="1"/>
  <c r="BF101" i="1" s="1"/>
  <c r="H99" i="1"/>
  <c r="H101" i="1" s="1"/>
  <c r="AJ99" i="1"/>
  <c r="AJ101" i="1" s="1"/>
  <c r="O99" i="1"/>
  <c r="O101" i="1" s="1"/>
  <c r="BA99" i="1"/>
  <c r="BA101" i="1" s="1"/>
  <c r="AU99" i="1"/>
  <c r="AU101" i="1" s="1"/>
  <c r="CS99" i="1"/>
  <c r="CS101" i="1" s="1"/>
  <c r="X99" i="1"/>
  <c r="X101" i="1" s="1"/>
  <c r="AT99" i="1"/>
  <c r="AT101" i="1" s="1"/>
  <c r="CV99" i="1"/>
  <c r="CV101" i="1" s="1"/>
  <c r="CT99" i="1"/>
  <c r="CT101" i="1" s="1"/>
  <c r="BQ99" i="1"/>
  <c r="BQ101" i="1" s="1"/>
  <c r="CC99" i="1"/>
  <c r="CC101" i="1" s="1"/>
  <c r="CB99" i="1"/>
  <c r="CB101" i="1" s="1"/>
  <c r="I99" i="1"/>
  <c r="I101" i="1" s="1"/>
  <c r="AL99" i="1"/>
  <c r="AL101" i="1" s="1"/>
  <c r="AF99" i="1"/>
  <c r="AF101" i="1" s="1"/>
  <c r="AW99" i="1"/>
  <c r="AW101" i="1" s="1"/>
  <c r="BC99" i="1"/>
  <c r="BC101" i="1" s="1"/>
  <c r="CK99" i="1"/>
  <c r="CK101" i="1" s="1"/>
  <c r="L99" i="1"/>
  <c r="L101" i="1" s="1"/>
  <c r="AR99" i="1"/>
  <c r="AR101" i="1" s="1"/>
  <c r="AG99" i="1"/>
  <c r="AG101" i="1" s="1"/>
  <c r="CH99" i="1"/>
  <c r="CH101" i="1" s="1"/>
  <c r="AE99" i="1"/>
  <c r="AE101" i="1" s="1"/>
  <c r="AS99" i="1"/>
  <c r="AS101" i="1" s="1"/>
  <c r="P99" i="1"/>
  <c r="P101" i="1" s="1"/>
  <c r="J99" i="1"/>
  <c r="J101" i="1" s="1"/>
  <c r="BW99" i="1"/>
  <c r="BW101" i="1" s="1"/>
  <c r="N99" i="1"/>
  <c r="N101" i="1" s="1"/>
  <c r="AK99" i="1"/>
  <c r="AK101" i="1" s="1"/>
  <c r="Y99" i="1"/>
  <c r="Y101" i="1" s="1"/>
  <c r="CM99" i="1"/>
  <c r="CM101" i="1" s="1"/>
  <c r="CG99" i="1"/>
  <c r="CG101" i="1" s="1"/>
  <c r="C29" i="1"/>
  <c r="C24" i="1"/>
  <c r="CD30" i="1"/>
  <c r="CD33" i="1" s="1"/>
  <c r="CD34" i="1" s="1"/>
  <c r="C36" i="1"/>
  <c r="C39" i="1" s="1"/>
  <c r="T62" i="10"/>
  <c r="C84" i="1"/>
  <c r="D33" i="1"/>
  <c r="U59" i="10"/>
  <c r="F89" i="1"/>
  <c r="F88" i="1"/>
  <c r="F87" i="1"/>
  <c r="T59" i="10"/>
  <c r="AP30" i="1" s="1"/>
  <c r="AP33" i="1" s="1"/>
  <c r="G58" i="1"/>
  <c r="G87" i="1" s="1"/>
  <c r="G61" i="1"/>
  <c r="G90" i="1" s="1"/>
  <c r="G59" i="1"/>
  <c r="G88" i="1" s="1"/>
  <c r="G60" i="1"/>
  <c r="G89" i="1" s="1"/>
  <c r="H5" i="1"/>
  <c r="F90" i="1"/>
  <c r="S133" i="10"/>
  <c r="S134" i="10" s="1"/>
  <c r="W134" i="10" s="1"/>
  <c r="V148" i="10"/>
  <c r="CA33" i="1"/>
  <c r="CA34" i="1" s="1"/>
  <c r="AR33" i="1"/>
  <c r="AR34" i="1" s="1"/>
  <c r="CT57" i="1"/>
  <c r="CT86" i="1" s="1"/>
  <c r="BP57" i="1"/>
  <c r="BZ57" i="1"/>
  <c r="CE57" i="1"/>
  <c r="W116" i="10"/>
  <c r="BF57" i="1"/>
  <c r="BK57" i="1"/>
  <c r="R128" i="10"/>
  <c r="CJ57" i="1"/>
  <c r="CO57" i="1"/>
  <c r="V128" i="10"/>
  <c r="R148" i="10"/>
  <c r="AQ57" i="1"/>
  <c r="BU57" i="1"/>
  <c r="W117" i="10"/>
  <c r="S118" i="10"/>
  <c r="CY57" i="1"/>
  <c r="BA57" i="1"/>
  <c r="M34" i="1"/>
  <c r="C26" i="1"/>
  <c r="U65" i="10"/>
  <c r="U68" i="10" s="1"/>
  <c r="F31" i="1" s="1"/>
  <c r="T65" i="10"/>
  <c r="T68" i="10" s="1"/>
  <c r="E31" i="1" s="1"/>
  <c r="V65" i="10"/>
  <c r="V68" i="10" s="1"/>
  <c r="G31" i="1" s="1"/>
  <c r="P68" i="10"/>
  <c r="C22" i="1"/>
  <c r="BK34" i="1"/>
  <c r="T61" i="10"/>
  <c r="U61" i="10"/>
  <c r="V61" i="10"/>
  <c r="P64" i="10"/>
  <c r="W102" i="10" l="1"/>
  <c r="W101" i="10"/>
  <c r="C101" i="1"/>
  <c r="E7" i="13" s="1"/>
  <c r="F7" i="13" s="1"/>
  <c r="D53" i="1"/>
  <c r="D82" i="1" s="1"/>
  <c r="C82" i="1" s="1"/>
  <c r="C51" i="1"/>
  <c r="C53" i="1" s="1"/>
  <c r="C99" i="1"/>
  <c r="CB30" i="1"/>
  <c r="CB33" i="1" s="1"/>
  <c r="W133" i="10"/>
  <c r="S135" i="10"/>
  <c r="W135" i="10" s="1"/>
  <c r="H61" i="1"/>
  <c r="H58" i="1"/>
  <c r="H87" i="1" s="1"/>
  <c r="H59" i="1"/>
  <c r="H88" i="1" s="1"/>
  <c r="I5" i="1"/>
  <c r="H60" i="1"/>
  <c r="H89" i="1" s="1"/>
  <c r="CC30" i="1"/>
  <c r="CC33" i="1" s="1"/>
  <c r="CC34" i="1" s="1"/>
  <c r="AQ30" i="1"/>
  <c r="AP34" i="1"/>
  <c r="BP86" i="1"/>
  <c r="CE86" i="1"/>
  <c r="BZ86" i="1"/>
  <c r="BK86" i="1"/>
  <c r="BF86" i="1"/>
  <c r="CO86" i="1"/>
  <c r="CJ86" i="1"/>
  <c r="BU86" i="1"/>
  <c r="AQ86" i="1"/>
  <c r="D34" i="1"/>
  <c r="C31" i="1"/>
  <c r="W118" i="10"/>
  <c r="W119" i="10" s="1"/>
  <c r="S120" i="10"/>
  <c r="S119" i="10"/>
  <c r="W103" i="10"/>
  <c r="S104" i="10"/>
  <c r="BA86" i="1"/>
  <c r="C57" i="1"/>
  <c r="CY86" i="1"/>
  <c r="BL30" i="1"/>
  <c r="T64" i="10"/>
  <c r="E30" i="1" s="1"/>
  <c r="BN30" i="1"/>
  <c r="BN33" i="1" s="1"/>
  <c r="V64" i="10"/>
  <c r="G30" i="1" s="1"/>
  <c r="BM30" i="1"/>
  <c r="BM33" i="1" s="1"/>
  <c r="U64" i="10"/>
  <c r="F30" i="1" s="1"/>
  <c r="F33" i="1" s="1"/>
  <c r="S136" i="10" l="1"/>
  <c r="S137" i="10" s="1"/>
  <c r="CB34" i="1"/>
  <c r="G33" i="1"/>
  <c r="G34" i="1" s="1"/>
  <c r="I59" i="1"/>
  <c r="I60" i="1"/>
  <c r="I61" i="1"/>
  <c r="I90" i="1" s="1"/>
  <c r="I58" i="1"/>
  <c r="I87" i="1" s="1"/>
  <c r="J5" i="1"/>
  <c r="E33" i="1"/>
  <c r="E34" i="1" s="1"/>
  <c r="AQ33" i="1"/>
  <c r="AQ34" i="1" s="1"/>
  <c r="H90" i="1"/>
  <c r="BL33" i="1"/>
  <c r="C86" i="1"/>
  <c r="W120" i="10"/>
  <c r="S121" i="10"/>
  <c r="S105" i="10"/>
  <c r="W104" i="10"/>
  <c r="BN34" i="1"/>
  <c r="BM34" i="1"/>
  <c r="C30" i="1"/>
  <c r="F34" i="1"/>
  <c r="W136" i="10" l="1"/>
  <c r="C33" i="1"/>
  <c r="C34" i="1" s="1"/>
  <c r="J58" i="1"/>
  <c r="J61" i="1"/>
  <c r="K5" i="1"/>
  <c r="J59" i="1"/>
  <c r="J88" i="1" s="1"/>
  <c r="J60" i="1"/>
  <c r="J89" i="1" s="1"/>
  <c r="I88" i="1"/>
  <c r="I89" i="1"/>
  <c r="BL34" i="1"/>
  <c r="S106" i="10"/>
  <c r="W105" i="10"/>
  <c r="S122" i="10"/>
  <c r="W121" i="10"/>
  <c r="W137" i="10"/>
  <c r="S138" i="10"/>
  <c r="L5" i="1" l="1"/>
  <c r="K58" i="1"/>
  <c r="K87" i="1" s="1"/>
  <c r="K59" i="1"/>
  <c r="K88" i="1" s="1"/>
  <c r="K61" i="1"/>
  <c r="K90" i="1" s="1"/>
  <c r="K60" i="1"/>
  <c r="J90" i="1"/>
  <c r="J87" i="1"/>
  <c r="S123" i="10"/>
  <c r="W122" i="10"/>
  <c r="S107" i="10"/>
  <c r="W106" i="10"/>
  <c r="W138" i="10"/>
  <c r="W139" i="10" s="1"/>
  <c r="S140" i="10"/>
  <c r="S139" i="10"/>
  <c r="K89" i="1" l="1"/>
  <c r="L60" i="1"/>
  <c r="L89" i="1" s="1"/>
  <c r="L59" i="1"/>
  <c r="L88" i="1" s="1"/>
  <c r="M5" i="1"/>
  <c r="L58" i="1"/>
  <c r="L61" i="1"/>
  <c r="S108" i="10"/>
  <c r="W107" i="10"/>
  <c r="S124" i="10"/>
  <c r="W123" i="10"/>
  <c r="S141" i="10"/>
  <c r="W140" i="10"/>
  <c r="L90" i="1" l="1"/>
  <c r="L87" i="1"/>
  <c r="M58" i="1"/>
  <c r="M60" i="1"/>
  <c r="M89" i="1" s="1"/>
  <c r="M59" i="1"/>
  <c r="M88" i="1" s="1"/>
  <c r="M61" i="1"/>
  <c r="M90" i="1" s="1"/>
  <c r="N5" i="1"/>
  <c r="S125" i="10"/>
  <c r="W124" i="10"/>
  <c r="S109" i="10"/>
  <c r="W108" i="10"/>
  <c r="S142" i="10"/>
  <c r="W141" i="10"/>
  <c r="N61" i="1" l="1"/>
  <c r="N90" i="1" s="1"/>
  <c r="O5" i="1"/>
  <c r="N58" i="1"/>
  <c r="N60" i="1"/>
  <c r="N89" i="1" s="1"/>
  <c r="N59" i="1"/>
  <c r="N88" i="1" s="1"/>
  <c r="M87" i="1"/>
  <c r="S110" i="10"/>
  <c r="W109" i="10"/>
  <c r="S143" i="10"/>
  <c r="W142" i="10"/>
  <c r="S126" i="10"/>
  <c r="W125" i="10"/>
  <c r="N87" i="1" l="1"/>
  <c r="O61" i="1"/>
  <c r="O90" i="1" s="1"/>
  <c r="O60" i="1"/>
  <c r="O89" i="1" s="1"/>
  <c r="O58" i="1"/>
  <c r="O59" i="1"/>
  <c r="O88" i="1" s="1"/>
  <c r="P5" i="1"/>
  <c r="S144" i="10"/>
  <c r="W143" i="10"/>
  <c r="S127" i="10"/>
  <c r="S128" i="10" s="1"/>
  <c r="W126" i="10"/>
  <c r="S111" i="10"/>
  <c r="W110" i="10"/>
  <c r="P59" i="1" l="1"/>
  <c r="P88" i="1" s="1"/>
  <c r="Q5" i="1"/>
  <c r="P60" i="1"/>
  <c r="P89" i="1" s="1"/>
  <c r="P61" i="1"/>
  <c r="P90" i="1" s="1"/>
  <c r="P58" i="1"/>
  <c r="O87" i="1"/>
  <c r="W127" i="10"/>
  <c r="W128" i="10"/>
  <c r="S145" i="10"/>
  <c r="W144" i="10"/>
  <c r="BM42" i="1"/>
  <c r="X43" i="1"/>
  <c r="Q41" i="1"/>
  <c r="AL40" i="1"/>
  <c r="AK43" i="1"/>
  <c r="I41" i="1"/>
  <c r="CY41" i="1"/>
  <c r="BU43" i="1"/>
  <c r="G41" i="1"/>
  <c r="S43" i="1"/>
  <c r="CC42" i="1"/>
  <c r="BZ40" i="1"/>
  <c r="AL42" i="1"/>
  <c r="CU43" i="1"/>
  <c r="BB40" i="1"/>
  <c r="CE41" i="1"/>
  <c r="AG41" i="1"/>
  <c r="AB40" i="1"/>
  <c r="BS40" i="1"/>
  <c r="AP43" i="1"/>
  <c r="CN40" i="1"/>
  <c r="AD43" i="1"/>
  <c r="AY42" i="1"/>
  <c r="AZ42" i="1"/>
  <c r="P40" i="1"/>
  <c r="AW41" i="1"/>
  <c r="CL43" i="1"/>
  <c r="CC41" i="1"/>
  <c r="AS41" i="1"/>
  <c r="D40" i="1"/>
  <c r="BZ41" i="1"/>
  <c r="BJ41" i="1"/>
  <c r="E43" i="1"/>
  <c r="BL42" i="1"/>
  <c r="AD42" i="1"/>
  <c r="N41" i="1"/>
  <c r="D42" i="1"/>
  <c r="BX43" i="1"/>
  <c r="AJ40" i="1"/>
  <c r="AR40" i="1"/>
  <c r="CV43" i="1"/>
  <c r="BD41" i="1"/>
  <c r="AE43" i="1"/>
  <c r="CB42" i="1"/>
  <c r="CU42" i="1"/>
  <c r="BF42" i="1"/>
  <c r="AJ42" i="1"/>
  <c r="CP41" i="1"/>
  <c r="CQ41" i="1"/>
  <c r="AQ42" i="1"/>
  <c r="AN43" i="1"/>
  <c r="BU42" i="1"/>
  <c r="AK41" i="1"/>
  <c r="AH42" i="1"/>
  <c r="BD42" i="1"/>
  <c r="AG42" i="1"/>
  <c r="R40" i="1"/>
  <c r="BR41" i="1"/>
  <c r="BO43" i="1"/>
  <c r="CL40" i="1"/>
  <c r="AT41" i="1"/>
  <c r="AQ40" i="1"/>
  <c r="BX40" i="1"/>
  <c r="CA42" i="1"/>
  <c r="BR42" i="1"/>
  <c r="CK40" i="1"/>
  <c r="AP42" i="1"/>
  <c r="BT42" i="1"/>
  <c r="F41" i="1"/>
  <c r="T42" i="1"/>
  <c r="BW41" i="1"/>
  <c r="AF42" i="1"/>
  <c r="BO41" i="1"/>
  <c r="AH43" i="1"/>
  <c r="BW42" i="1"/>
  <c r="CI42" i="1"/>
  <c r="P42" i="1"/>
  <c r="H40" i="1"/>
  <c r="BY43" i="1"/>
  <c r="BN43" i="1"/>
  <c r="CD43" i="1"/>
  <c r="AF40" i="1"/>
  <c r="CY40" i="1"/>
  <c r="BJ42" i="1"/>
  <c r="BK43" i="1"/>
  <c r="I42" i="1"/>
  <c r="CR41" i="1"/>
  <c r="BH40" i="1"/>
  <c r="AC41" i="1"/>
  <c r="CM41" i="1"/>
  <c r="AH41" i="1"/>
  <c r="AK42" i="1"/>
  <c r="CF42" i="1"/>
  <c r="BS43" i="1"/>
  <c r="N42" i="1"/>
  <c r="BU41" i="1"/>
  <c r="AP40" i="1"/>
  <c r="AD40" i="1"/>
  <c r="AC42" i="1"/>
  <c r="R43" i="1"/>
  <c r="BI41" i="1"/>
  <c r="AE42" i="1"/>
  <c r="BT43" i="1"/>
  <c r="CW40" i="1"/>
  <c r="BQ42" i="1"/>
  <c r="AE40" i="1"/>
  <c r="AS43" i="1"/>
  <c r="BX42" i="1"/>
  <c r="BQ41" i="1"/>
  <c r="CH41" i="1"/>
  <c r="Y42" i="1"/>
  <c r="X42" i="1"/>
  <c r="BL40" i="1"/>
  <c r="CX43" i="1"/>
  <c r="AF41" i="1"/>
  <c r="Z43" i="1"/>
  <c r="BC40" i="1"/>
  <c r="BO40" i="1"/>
  <c r="BZ42" i="1"/>
  <c r="AA42" i="1"/>
  <c r="AM42" i="1"/>
  <c r="CK41" i="1"/>
  <c r="CQ42" i="1"/>
  <c r="BR43" i="1"/>
  <c r="BO42" i="1"/>
  <c r="AA40" i="1"/>
  <c r="J41" i="1"/>
  <c r="BY41" i="1"/>
  <c r="J42" i="1"/>
  <c r="BU40" i="1"/>
  <c r="AY43" i="1"/>
  <c r="D41" i="1"/>
  <c r="W41" i="1"/>
  <c r="Y40" i="1"/>
  <c r="AV41" i="1"/>
  <c r="N40" i="1"/>
  <c r="R41" i="1"/>
  <c r="P43" i="1"/>
  <c r="AE41" i="1"/>
  <c r="AX43" i="1"/>
  <c r="J40" i="1"/>
  <c r="BY42" i="1"/>
  <c r="BP40" i="1"/>
  <c r="CB43" i="1"/>
  <c r="F43" i="1"/>
  <c r="CO43" i="1"/>
  <c r="AD41" i="1"/>
  <c r="BK40" i="1"/>
  <c r="AM41" i="1"/>
  <c r="CG40" i="1"/>
  <c r="N43" i="1"/>
  <c r="BG43" i="1"/>
  <c r="CU40" i="1"/>
  <c r="O43" i="1"/>
  <c r="CF43" i="1"/>
  <c r="CX42" i="1"/>
  <c r="BH43" i="1"/>
  <c r="CG43" i="1"/>
  <c r="BP42" i="1"/>
  <c r="BG42" i="1"/>
  <c r="CS41" i="1"/>
  <c r="BK42" i="1"/>
  <c r="CI40" i="1"/>
  <c r="BP43" i="1"/>
  <c r="CT43" i="1"/>
  <c r="AU42" i="1"/>
  <c r="AJ41" i="1"/>
  <c r="BT41" i="1"/>
  <c r="S40" i="1"/>
  <c r="BP41" i="1"/>
  <c r="BN41" i="1"/>
  <c r="Q42" i="1"/>
  <c r="P41" i="1"/>
  <c r="V41" i="1"/>
  <c r="AV42" i="1"/>
  <c r="CG41" i="1"/>
  <c r="CA41" i="1"/>
  <c r="L41" i="1"/>
  <c r="CL41" i="1"/>
  <c r="BW40" i="1"/>
  <c r="CN41" i="1"/>
  <c r="I40" i="1"/>
  <c r="BS42" i="1"/>
  <c r="L40" i="1"/>
  <c r="X40" i="1"/>
  <c r="AT43" i="1"/>
  <c r="J43" i="1"/>
  <c r="CH40" i="1"/>
  <c r="AC43" i="1"/>
  <c r="BH41" i="1"/>
  <c r="CJ41" i="1"/>
  <c r="AM40" i="1"/>
  <c r="AA41" i="1"/>
  <c r="CY42" i="1"/>
  <c r="M40" i="1"/>
  <c r="AN42" i="1"/>
  <c r="CD41" i="1"/>
  <c r="BS41" i="1"/>
  <c r="BW43" i="1"/>
  <c r="G40" i="1"/>
  <c r="CN43" i="1"/>
  <c r="BI43" i="1"/>
  <c r="Q40" i="1"/>
  <c r="S41" i="1"/>
  <c r="AL43" i="1"/>
  <c r="CG42" i="1"/>
  <c r="BE43" i="1"/>
  <c r="CO42" i="1"/>
  <c r="H41" i="1"/>
  <c r="AR42" i="1"/>
  <c r="CV42" i="1"/>
  <c r="CI43" i="1"/>
  <c r="CW43" i="1"/>
  <c r="CB40" i="1"/>
  <c r="AV40" i="1"/>
  <c r="BE42" i="1"/>
  <c r="CX40" i="1"/>
  <c r="CV40" i="1"/>
  <c r="AQ43" i="1"/>
  <c r="CV41" i="1"/>
  <c r="CC43" i="1"/>
  <c r="CE43" i="1"/>
  <c r="BC43" i="1"/>
  <c r="O40" i="1"/>
  <c r="AG40" i="1"/>
  <c r="AR41" i="1"/>
  <c r="CS42" i="1"/>
  <c r="CT40" i="1"/>
  <c r="AX42" i="1"/>
  <c r="AF43" i="1"/>
  <c r="BC42" i="1"/>
  <c r="BE41" i="1"/>
  <c r="AO40" i="1"/>
  <c r="AI43" i="1"/>
  <c r="CA43" i="1"/>
  <c r="K42" i="1"/>
  <c r="AU41" i="1"/>
  <c r="AZ41" i="1"/>
  <c r="AO42" i="1"/>
  <c r="K43" i="1"/>
  <c r="CO40" i="1"/>
  <c r="BV43" i="1"/>
  <c r="AX40" i="1"/>
  <c r="AX41" i="1"/>
  <c r="CY43" i="1"/>
  <c r="BC41" i="1"/>
  <c r="V40" i="1"/>
  <c r="AB43" i="1"/>
  <c r="BA43" i="1"/>
  <c r="AO41" i="1"/>
  <c r="CS40" i="1"/>
  <c r="W40" i="1"/>
  <c r="AT40" i="1"/>
  <c r="R42" i="1"/>
  <c r="BE40" i="1"/>
  <c r="AS40" i="1"/>
  <c r="CF40" i="1"/>
  <c r="AJ43" i="1"/>
  <c r="CT42" i="1"/>
  <c r="G43" i="1"/>
  <c r="CC40" i="1"/>
  <c r="BY40" i="1"/>
  <c r="CS43" i="1"/>
  <c r="BT40" i="1"/>
  <c r="U41" i="1"/>
  <c r="CE40" i="1"/>
  <c r="BJ40" i="1"/>
  <c r="AW42" i="1"/>
  <c r="AZ40" i="1"/>
  <c r="CT41" i="1"/>
  <c r="Z40" i="1"/>
  <c r="L43" i="1"/>
  <c r="CH43" i="1"/>
  <c r="E42" i="1"/>
  <c r="T40" i="1"/>
  <c r="AQ41" i="1"/>
  <c r="BB41" i="1"/>
  <c r="Z42" i="1"/>
  <c r="T43" i="1"/>
  <c r="BX41" i="1"/>
  <c r="AM43" i="1"/>
  <c r="AS42" i="1"/>
  <c r="K40" i="1"/>
  <c r="AR43" i="1"/>
  <c r="M43" i="1"/>
  <c r="AB42" i="1"/>
  <c r="CW42" i="1"/>
  <c r="CD42" i="1"/>
  <c r="AC40" i="1"/>
  <c r="CB41" i="1"/>
  <c r="H42" i="1"/>
  <c r="V42" i="1"/>
  <c r="AN41" i="1"/>
  <c r="CU41" i="1"/>
  <c r="K41" i="1"/>
  <c r="CI41" i="1"/>
  <c r="BB42" i="1"/>
  <c r="CQ43" i="1"/>
  <c r="BK41" i="1"/>
  <c r="M41" i="1"/>
  <c r="CL42" i="1"/>
  <c r="BV42" i="1"/>
  <c r="BQ40" i="1"/>
  <c r="H43" i="1"/>
  <c r="AY41" i="1"/>
  <c r="AV43" i="1"/>
  <c r="M42" i="1"/>
  <c r="CK43" i="1"/>
  <c r="CR42" i="1"/>
  <c r="BL43" i="1"/>
  <c r="CK42" i="1"/>
  <c r="BZ43" i="1"/>
  <c r="G42" i="1"/>
  <c r="BD40" i="1"/>
  <c r="BV40" i="1"/>
  <c r="CF41" i="1"/>
  <c r="BD43" i="1"/>
  <c r="E41" i="1"/>
  <c r="BG40" i="1"/>
  <c r="AZ43" i="1"/>
  <c r="AL41" i="1"/>
  <c r="AT42" i="1"/>
  <c r="CX41" i="1"/>
  <c r="CH42" i="1"/>
  <c r="CP43" i="1"/>
  <c r="AB41" i="1"/>
  <c r="AI42" i="1"/>
  <c r="U40" i="1"/>
  <c r="E40" i="1"/>
  <c r="CW41" i="1"/>
  <c r="V43" i="1"/>
  <c r="Q43" i="1"/>
  <c r="F42" i="1"/>
  <c r="L42" i="1"/>
  <c r="O42" i="1"/>
  <c r="BM40" i="1"/>
  <c r="W42" i="1"/>
  <c r="CR40" i="1"/>
  <c r="D43" i="1"/>
  <c r="BF41" i="1"/>
  <c r="BF40" i="1"/>
  <c r="BM41" i="1"/>
  <c r="CO41" i="1"/>
  <c r="CE42" i="1"/>
  <c r="BA42" i="1"/>
  <c r="AW40" i="1"/>
  <c r="AW43" i="1"/>
  <c r="AU43" i="1"/>
  <c r="CJ42" i="1"/>
  <c r="BA41" i="1"/>
  <c r="BR40" i="1"/>
  <c r="AI41" i="1"/>
  <c r="W43" i="1"/>
  <c r="F40" i="1"/>
  <c r="BM43" i="1"/>
  <c r="BJ43" i="1"/>
  <c r="CP40" i="1"/>
  <c r="CM43" i="1"/>
  <c r="U42" i="1"/>
  <c r="BH42" i="1"/>
  <c r="Y41" i="1"/>
  <c r="Z41" i="1"/>
  <c r="BI40" i="1"/>
  <c r="AH40" i="1"/>
  <c r="X41" i="1"/>
  <c r="CJ43" i="1"/>
  <c r="I43" i="1"/>
  <c r="AY40" i="1"/>
  <c r="AG43" i="1"/>
  <c r="CN42" i="1"/>
  <c r="CJ40" i="1"/>
  <c r="AN40" i="1"/>
  <c r="CP42" i="1"/>
  <c r="BN40" i="1"/>
  <c r="S42" i="1"/>
  <c r="AP41" i="1"/>
  <c r="CA40" i="1"/>
  <c r="BF43" i="1"/>
  <c r="CM42" i="1"/>
  <c r="BA40" i="1"/>
  <c r="T41" i="1"/>
  <c r="BL41" i="1"/>
  <c r="O41" i="1"/>
  <c r="CR43" i="1"/>
  <c r="Y43" i="1"/>
  <c r="BB43" i="1"/>
  <c r="BV41" i="1"/>
  <c r="AA43" i="1"/>
  <c r="AO43" i="1"/>
  <c r="BQ43" i="1"/>
  <c r="AU40" i="1"/>
  <c r="CQ40" i="1"/>
  <c r="BI42" i="1"/>
  <c r="BN42" i="1"/>
  <c r="AI40" i="1"/>
  <c r="AK40" i="1"/>
  <c r="CD40" i="1"/>
  <c r="U43" i="1"/>
  <c r="BG41" i="1"/>
  <c r="CM40" i="1"/>
  <c r="W83" i="1" l="1"/>
  <c r="H83" i="1"/>
  <c r="H62" i="1"/>
  <c r="H63" i="1" s="1"/>
  <c r="H71" i="1" s="1"/>
  <c r="CV44" i="1"/>
  <c r="CV45" i="1" s="1"/>
  <c r="CV67" i="1" s="1"/>
  <c r="CV79" i="1" s="1"/>
  <c r="CQ83" i="1"/>
  <c r="AR44" i="1"/>
  <c r="AR45" i="1" s="1"/>
  <c r="AR67" i="1" s="1"/>
  <c r="AR79" i="1" s="1"/>
  <c r="C41" i="1"/>
  <c r="CL44" i="1"/>
  <c r="CL45" i="1" s="1"/>
  <c r="CL68" i="1" s="1"/>
  <c r="CL80" i="1" s="1"/>
  <c r="BT44" i="1"/>
  <c r="BT45" i="1" s="1"/>
  <c r="BT67" i="1" s="1"/>
  <c r="BT79" i="1" s="1"/>
  <c r="AH83" i="1"/>
  <c r="AJ83" i="1"/>
  <c r="J44" i="1"/>
  <c r="J45" i="1" s="1"/>
  <c r="J67" i="1" s="1"/>
  <c r="J79" i="1" s="1"/>
  <c r="CX83" i="1"/>
  <c r="AF44" i="1"/>
  <c r="AF45" i="1" s="1"/>
  <c r="AF67" i="1" s="1"/>
  <c r="AF79" i="1" s="1"/>
  <c r="L62" i="1"/>
  <c r="L63" i="1" s="1"/>
  <c r="L71" i="1" s="1"/>
  <c r="L92" i="1" s="1"/>
  <c r="L83" i="1"/>
  <c r="BH44" i="1"/>
  <c r="BH45" i="1" s="1"/>
  <c r="BH68" i="1" s="1"/>
  <c r="BH80" i="1" s="1"/>
  <c r="BJ83" i="1"/>
  <c r="CE44" i="1"/>
  <c r="CE45" i="1" s="1"/>
  <c r="CE68" i="1" s="1"/>
  <c r="CE80" i="1" s="1"/>
  <c r="AK83" i="1"/>
  <c r="Y44" i="1"/>
  <c r="Y45" i="1" s="1"/>
  <c r="Y68" i="1" s="1"/>
  <c r="Y80" i="1" s="1"/>
  <c r="BD44" i="1"/>
  <c r="BD45" i="1" s="1"/>
  <c r="BD68" i="1" s="1"/>
  <c r="BD80" i="1" s="1"/>
  <c r="BC83" i="1"/>
  <c r="CE83" i="1"/>
  <c r="BQ44" i="1"/>
  <c r="BQ45" i="1" s="1"/>
  <c r="BI44" i="1"/>
  <c r="BI45" i="1" s="1"/>
  <c r="BI68" i="1" s="1"/>
  <c r="BI80" i="1" s="1"/>
  <c r="CJ44" i="1"/>
  <c r="CJ45" i="1" s="1"/>
  <c r="CJ68" i="1" s="1"/>
  <c r="CJ80" i="1" s="1"/>
  <c r="AN83" i="1"/>
  <c r="AI44" i="1"/>
  <c r="AI45" i="1" s="1"/>
  <c r="AI67" i="1" s="1"/>
  <c r="AI79" i="1" s="1"/>
  <c r="F62" i="1"/>
  <c r="F63" i="1" s="1"/>
  <c r="F70" i="1" s="1"/>
  <c r="F83" i="1"/>
  <c r="CK83" i="1"/>
  <c r="V83" i="1"/>
  <c r="BH83" i="1"/>
  <c r="BB83" i="1"/>
  <c r="BO44" i="1"/>
  <c r="BO45" i="1" s="1"/>
  <c r="BO68" i="1" s="1"/>
  <c r="BO80" i="1" s="1"/>
  <c r="BR44" i="1"/>
  <c r="BR45" i="1" s="1"/>
  <c r="BR68" i="1" s="1"/>
  <c r="BR80" i="1" s="1"/>
  <c r="BL83" i="1"/>
  <c r="CJ83" i="1"/>
  <c r="CY83" i="1"/>
  <c r="K44" i="1"/>
  <c r="K45" i="1" s="1"/>
  <c r="K68" i="1" s="1"/>
  <c r="K80" i="1" s="1"/>
  <c r="CT83" i="1"/>
  <c r="AB44" i="1"/>
  <c r="AB45" i="1" s="1"/>
  <c r="AB67" i="1" s="1"/>
  <c r="AB79" i="1" s="1"/>
  <c r="AO44" i="1"/>
  <c r="AO45" i="1" s="1"/>
  <c r="AO67" i="1" s="1"/>
  <c r="AO79" i="1" s="1"/>
  <c r="AJ44" i="1"/>
  <c r="AJ45" i="1" s="1"/>
  <c r="AJ67" i="1" s="1"/>
  <c r="AJ79" i="1" s="1"/>
  <c r="BY83" i="1"/>
  <c r="T83" i="1"/>
  <c r="BN44" i="1"/>
  <c r="BN45" i="1" s="1"/>
  <c r="BN67" i="1" s="1"/>
  <c r="BN79" i="1" s="1"/>
  <c r="BQ83" i="1"/>
  <c r="AW44" i="1"/>
  <c r="AW45" i="1" s="1"/>
  <c r="AW68" i="1" s="1"/>
  <c r="AW80" i="1" s="1"/>
  <c r="BB44" i="1"/>
  <c r="BB45" i="1" s="1"/>
  <c r="BB68" i="1" s="1"/>
  <c r="BB80" i="1" s="1"/>
  <c r="AP44" i="1"/>
  <c r="AP45" i="1" s="1"/>
  <c r="AP67" i="1" s="1"/>
  <c r="AP79" i="1" s="1"/>
  <c r="BE44" i="1"/>
  <c r="BE45" i="1" s="1"/>
  <c r="BE68" i="1" s="1"/>
  <c r="BE80" i="1" s="1"/>
  <c r="CU83" i="1"/>
  <c r="CX44" i="1"/>
  <c r="CX45" i="1" s="1"/>
  <c r="CX67" i="1" s="1"/>
  <c r="CX79" i="1" s="1"/>
  <c r="AT44" i="1"/>
  <c r="AT45" i="1" s="1"/>
  <c r="AT67" i="1" s="1"/>
  <c r="AT79" i="1" s="1"/>
  <c r="AK44" i="1"/>
  <c r="AK45" i="1" s="1"/>
  <c r="AK68" i="1" s="1"/>
  <c r="AK80" i="1" s="1"/>
  <c r="AD44" i="1"/>
  <c r="AD45" i="1" s="1"/>
  <c r="AD67" i="1" s="1"/>
  <c r="AD79" i="1" s="1"/>
  <c r="CM83" i="1"/>
  <c r="O83" i="1"/>
  <c r="O62" i="1"/>
  <c r="O63" i="1" s="1"/>
  <c r="O71" i="1" s="1"/>
  <c r="AV83" i="1"/>
  <c r="P44" i="1"/>
  <c r="P45" i="1" s="1"/>
  <c r="P67" i="1" s="1"/>
  <c r="P79" i="1" s="1"/>
  <c r="AQ44" i="1"/>
  <c r="AQ45" i="1" s="1"/>
  <c r="M83" i="1"/>
  <c r="M62" i="1"/>
  <c r="M63" i="1" s="1"/>
  <c r="M71" i="1" s="1"/>
  <c r="CL83" i="1"/>
  <c r="BS44" i="1"/>
  <c r="BS45" i="1" s="1"/>
  <c r="BS67" i="1" s="1"/>
  <c r="BS79" i="1" s="1"/>
  <c r="C42" i="1"/>
  <c r="AX83" i="1"/>
  <c r="AN44" i="1"/>
  <c r="AN45" i="1" s="1"/>
  <c r="AN67" i="1" s="1"/>
  <c r="AN79" i="1" s="1"/>
  <c r="AT83" i="1"/>
  <c r="BP44" i="1"/>
  <c r="BP45" i="1" s="1"/>
  <c r="BP68" i="1" s="1"/>
  <c r="BP80" i="1" s="1"/>
  <c r="BT83" i="1"/>
  <c r="G44" i="1"/>
  <c r="G45" i="1" s="1"/>
  <c r="G68" i="1" s="1"/>
  <c r="G80" i="1" s="1"/>
  <c r="BV44" i="1"/>
  <c r="BV45" i="1" s="1"/>
  <c r="BV68" i="1" s="1"/>
  <c r="BV80" i="1" s="1"/>
  <c r="AU44" i="1"/>
  <c r="AU45" i="1" s="1"/>
  <c r="AU68" i="1" s="1"/>
  <c r="AU80" i="1" s="1"/>
  <c r="AI83" i="1"/>
  <c r="AQ83" i="1"/>
  <c r="AA44" i="1"/>
  <c r="AA45" i="1" s="1"/>
  <c r="AA68" i="1" s="1"/>
  <c r="AA80" i="1" s="1"/>
  <c r="CA44" i="1"/>
  <c r="CA45" i="1" s="1"/>
  <c r="CA68" i="1" s="1"/>
  <c r="CA80" i="1" s="1"/>
  <c r="AE44" i="1"/>
  <c r="AE45" i="1" s="1"/>
  <c r="AE67" i="1" s="1"/>
  <c r="AE79" i="1" s="1"/>
  <c r="BO83" i="1"/>
  <c r="J83" i="1"/>
  <c r="J62" i="1"/>
  <c r="J63" i="1" s="1"/>
  <c r="J71" i="1" s="1"/>
  <c r="J92" i="1" s="1"/>
  <c r="Z83" i="1"/>
  <c r="CA83" i="1"/>
  <c r="AH44" i="1"/>
  <c r="AH45" i="1" s="1"/>
  <c r="AH67" i="1" s="1"/>
  <c r="AH79" i="1" s="1"/>
  <c r="BX44" i="1"/>
  <c r="BX45" i="1" s="1"/>
  <c r="BX68" i="1" s="1"/>
  <c r="BX80" i="1" s="1"/>
  <c r="CH83" i="1"/>
  <c r="BR83" i="1"/>
  <c r="CY44" i="1"/>
  <c r="CY45" i="1" s="1"/>
  <c r="CY67" i="1" s="1"/>
  <c r="CY79" i="1" s="1"/>
  <c r="F44" i="1"/>
  <c r="F45" i="1" s="1"/>
  <c r="F67" i="1" s="1"/>
  <c r="F79" i="1" s="1"/>
  <c r="BL44" i="1"/>
  <c r="BL45" i="1" s="1"/>
  <c r="BL67" i="1" s="1"/>
  <c r="BL79" i="1" s="1"/>
  <c r="CN44" i="1"/>
  <c r="CN45" i="1" s="1"/>
  <c r="CN67" i="1" s="1"/>
  <c r="CN79" i="1" s="1"/>
  <c r="C54" i="1"/>
  <c r="D83" i="1"/>
  <c r="D62" i="1"/>
  <c r="D63" i="1" s="1"/>
  <c r="D70" i="1" s="1"/>
  <c r="U44" i="1"/>
  <c r="U45" i="1" s="1"/>
  <c r="U68" i="1" s="1"/>
  <c r="U80" i="1" s="1"/>
  <c r="BG83" i="1"/>
  <c r="AS44" i="1"/>
  <c r="AS45" i="1" s="1"/>
  <c r="AS67" i="1" s="1"/>
  <c r="AS79" i="1" s="1"/>
  <c r="AM44" i="1"/>
  <c r="AM45" i="1" s="1"/>
  <c r="AM68" i="1" s="1"/>
  <c r="AM80" i="1" s="1"/>
  <c r="CC44" i="1"/>
  <c r="CC45" i="1" s="1"/>
  <c r="CC68" i="1" s="1"/>
  <c r="CC80" i="1" s="1"/>
  <c r="X83" i="1"/>
  <c r="AY83" i="1"/>
  <c r="CD44" i="1"/>
  <c r="CD45" i="1" s="1"/>
  <c r="CD68" i="1" s="1"/>
  <c r="CD80" i="1" s="1"/>
  <c r="O44" i="1"/>
  <c r="O45" i="1" s="1"/>
  <c r="I62" i="1"/>
  <c r="I63" i="1" s="1"/>
  <c r="I70" i="1" s="1"/>
  <c r="I91" i="1" s="1"/>
  <c r="I83" i="1"/>
  <c r="AB83" i="1"/>
  <c r="CU44" i="1"/>
  <c r="CU45" i="1" s="1"/>
  <c r="CU67" i="1" s="1"/>
  <c r="CU79" i="1" s="1"/>
  <c r="BA44" i="1"/>
  <c r="BA45" i="1" s="1"/>
  <c r="BA67" i="1" s="1"/>
  <c r="BA79" i="1" s="1"/>
  <c r="T44" i="1"/>
  <c r="T45" i="1" s="1"/>
  <c r="CF44" i="1"/>
  <c r="CF45" i="1" s="1"/>
  <c r="AG83" i="1"/>
  <c r="BC44" i="1"/>
  <c r="BC45" i="1" s="1"/>
  <c r="BC68" i="1" s="1"/>
  <c r="BC80" i="1" s="1"/>
  <c r="R44" i="1"/>
  <c r="R45" i="1" s="1"/>
  <c r="R67" i="1" s="1"/>
  <c r="R79" i="1" s="1"/>
  <c r="W44" i="1"/>
  <c r="W45" i="1" s="1"/>
  <c r="W67" i="1" s="1"/>
  <c r="W79" i="1" s="1"/>
  <c r="CD83" i="1"/>
  <c r="AO83" i="1"/>
  <c r="CI83" i="1"/>
  <c r="Y83" i="1"/>
  <c r="CI44" i="1"/>
  <c r="CI45" i="1" s="1"/>
  <c r="CI67" i="1" s="1"/>
  <c r="CI79" i="1" s="1"/>
  <c r="C43" i="1"/>
  <c r="BW83" i="1"/>
  <c r="AC44" i="1"/>
  <c r="AC45" i="1" s="1"/>
  <c r="AC67" i="1" s="1"/>
  <c r="AC79" i="1" s="1"/>
  <c r="AZ83" i="1"/>
  <c r="AM83" i="1"/>
  <c r="AW83" i="1"/>
  <c r="AD83" i="1"/>
  <c r="AL83" i="1"/>
  <c r="AC83" i="1"/>
  <c r="CH44" i="1"/>
  <c r="CH45" i="1" s="1"/>
  <c r="CH68" i="1" s="1"/>
  <c r="CH80" i="1" s="1"/>
  <c r="BV83" i="1"/>
  <c r="BG44" i="1"/>
  <c r="BG45" i="1" s="1"/>
  <c r="BG67" i="1" s="1"/>
  <c r="BG79" i="1" s="1"/>
  <c r="CT44" i="1"/>
  <c r="CT45" i="1" s="1"/>
  <c r="CT68" i="1" s="1"/>
  <c r="CT80" i="1" s="1"/>
  <c r="D44" i="1"/>
  <c r="D45" i="1" s="1"/>
  <c r="D67" i="1" s="1"/>
  <c r="D79" i="1" s="1"/>
  <c r="C40" i="1"/>
  <c r="AE83" i="1"/>
  <c r="CB83" i="1"/>
  <c r="CG44" i="1"/>
  <c r="CG45" i="1" s="1"/>
  <c r="CG67" i="1" s="1"/>
  <c r="CG79" i="1" s="1"/>
  <c r="AY44" i="1"/>
  <c r="AY45" i="1" s="1"/>
  <c r="AY68" i="1" s="1"/>
  <c r="AY80" i="1" s="1"/>
  <c r="CO44" i="1"/>
  <c r="CO45" i="1" s="1"/>
  <c r="CO67" i="1" s="1"/>
  <c r="CO79" i="1" s="1"/>
  <c r="AL44" i="1"/>
  <c r="AL45" i="1" s="1"/>
  <c r="AL68" i="1" s="1"/>
  <c r="AL80" i="1" s="1"/>
  <c r="BF44" i="1"/>
  <c r="BF45" i="1" s="1"/>
  <c r="BF68" i="1" s="1"/>
  <c r="BF80" i="1" s="1"/>
  <c r="U83" i="1"/>
  <c r="CR44" i="1"/>
  <c r="CR45" i="1" s="1"/>
  <c r="CR68" i="1" s="1"/>
  <c r="CR80" i="1" s="1"/>
  <c r="AS83" i="1"/>
  <c r="I44" i="1"/>
  <c r="I45" i="1" s="1"/>
  <c r="I68" i="1" s="1"/>
  <c r="I80" i="1" s="1"/>
  <c r="Z44" i="1"/>
  <c r="Z45" i="1" s="1"/>
  <c r="Z67" i="1" s="1"/>
  <c r="Z79" i="1" s="1"/>
  <c r="CP44" i="1"/>
  <c r="CP45" i="1" s="1"/>
  <c r="CP68" i="1" s="1"/>
  <c r="CP80" i="1" s="1"/>
  <c r="BI83" i="1"/>
  <c r="CP83" i="1"/>
  <c r="AP83" i="1"/>
  <c r="AF83" i="1"/>
  <c r="BP83" i="1"/>
  <c r="BN83" i="1"/>
  <c r="E44" i="1"/>
  <c r="E45" i="1" s="1"/>
  <c r="E67" i="1" s="1"/>
  <c r="E79" i="1" s="1"/>
  <c r="BY44" i="1"/>
  <c r="BY45" i="1" s="1"/>
  <c r="BY67" i="1" s="1"/>
  <c r="BY79" i="1" s="1"/>
  <c r="BZ83" i="1"/>
  <c r="BF83" i="1"/>
  <c r="CO83" i="1"/>
  <c r="CS44" i="1"/>
  <c r="CS45" i="1" s="1"/>
  <c r="CS68" i="1" s="1"/>
  <c r="CS80" i="1" s="1"/>
  <c r="BM44" i="1"/>
  <c r="BM45" i="1" s="1"/>
  <c r="BM67" i="1" s="1"/>
  <c r="BM79" i="1" s="1"/>
  <c r="G62" i="1"/>
  <c r="G63" i="1" s="1"/>
  <c r="G70" i="1" s="1"/>
  <c r="G83" i="1"/>
  <c r="BS83" i="1"/>
  <c r="BU44" i="1"/>
  <c r="BU45" i="1" s="1"/>
  <c r="BU67" i="1" s="1"/>
  <c r="BU79" i="1" s="1"/>
  <c r="P83" i="1"/>
  <c r="AR83" i="1"/>
  <c r="CN83" i="1"/>
  <c r="Q83" i="1"/>
  <c r="X44" i="1"/>
  <c r="X45" i="1" s="1"/>
  <c r="X68" i="1" s="1"/>
  <c r="X80" i="1" s="1"/>
  <c r="CQ44" i="1"/>
  <c r="CQ45" i="1" s="1"/>
  <c r="CQ67" i="1" s="1"/>
  <c r="CQ79" i="1" s="1"/>
  <c r="K83" i="1"/>
  <c r="K62" i="1"/>
  <c r="K63" i="1" s="1"/>
  <c r="K71" i="1" s="1"/>
  <c r="CG83" i="1"/>
  <c r="BU83" i="1"/>
  <c r="CW44" i="1"/>
  <c r="CW45" i="1" s="1"/>
  <c r="CW67" i="1" s="1"/>
  <c r="CW79" i="1" s="1"/>
  <c r="M44" i="1"/>
  <c r="M45" i="1" s="1"/>
  <c r="M68" i="1" s="1"/>
  <c r="M80" i="1" s="1"/>
  <c r="N83" i="1"/>
  <c r="N62" i="1"/>
  <c r="N63" i="1" s="1"/>
  <c r="N71" i="1" s="1"/>
  <c r="N92" i="1" s="1"/>
  <c r="L44" i="1"/>
  <c r="L45" i="1" s="1"/>
  <c r="L68" i="1" s="1"/>
  <c r="L80" i="1" s="1"/>
  <c r="CR83" i="1"/>
  <c r="BW44" i="1"/>
  <c r="BW45" i="1" s="1"/>
  <c r="BW68" i="1" s="1"/>
  <c r="BW80" i="1" s="1"/>
  <c r="R83" i="1"/>
  <c r="S83" i="1"/>
  <c r="V44" i="1"/>
  <c r="V45" i="1" s="1"/>
  <c r="V67" i="1" s="1"/>
  <c r="V79" i="1" s="1"/>
  <c r="CV83" i="1"/>
  <c r="S44" i="1"/>
  <c r="S45" i="1" s="1"/>
  <c r="S68" i="1" s="1"/>
  <c r="S80" i="1" s="1"/>
  <c r="BA83" i="1"/>
  <c r="BD83" i="1"/>
  <c r="AX44" i="1"/>
  <c r="AX45" i="1" s="1"/>
  <c r="AX67" i="1" s="1"/>
  <c r="AX79" i="1" s="1"/>
  <c r="CW83" i="1"/>
  <c r="E62" i="1"/>
  <c r="E63" i="1" s="1"/>
  <c r="E70" i="1" s="1"/>
  <c r="E91" i="1" s="1"/>
  <c r="E83" i="1"/>
  <c r="BM83" i="1"/>
  <c r="BE83" i="1"/>
  <c r="CK44" i="1"/>
  <c r="CK45" i="1" s="1"/>
  <c r="CK68" i="1" s="1"/>
  <c r="CK80" i="1" s="1"/>
  <c r="Q44" i="1"/>
  <c r="Q45" i="1" s="1"/>
  <c r="Q68" i="1" s="1"/>
  <c r="Q80" i="1" s="1"/>
  <c r="AG44" i="1"/>
  <c r="AG45" i="1" s="1"/>
  <c r="AG68" i="1" s="1"/>
  <c r="AG80" i="1" s="1"/>
  <c r="CC83" i="1"/>
  <c r="CB44" i="1"/>
  <c r="CB45" i="1" s="1"/>
  <c r="CB68" i="1" s="1"/>
  <c r="CB80" i="1" s="1"/>
  <c r="BX83" i="1"/>
  <c r="AZ44" i="1"/>
  <c r="AZ45" i="1" s="1"/>
  <c r="AZ67" i="1" s="1"/>
  <c r="AZ79" i="1" s="1"/>
  <c r="BK83" i="1"/>
  <c r="CM44" i="1"/>
  <c r="CM45" i="1" s="1"/>
  <c r="CM68" i="1" s="1"/>
  <c r="CM80" i="1" s="1"/>
  <c r="BZ44" i="1"/>
  <c r="BZ45" i="1" s="1"/>
  <c r="BZ67" i="1" s="1"/>
  <c r="BZ79" i="1" s="1"/>
  <c r="CS83" i="1"/>
  <c r="N44" i="1"/>
  <c r="N45" i="1" s="1"/>
  <c r="N68" i="1" s="1"/>
  <c r="N80" i="1" s="1"/>
  <c r="CF83" i="1"/>
  <c r="AU83" i="1"/>
  <c r="AA83" i="1"/>
  <c r="AV44" i="1"/>
  <c r="AV45" i="1" s="1"/>
  <c r="AV67" i="1" s="1"/>
  <c r="AV79" i="1" s="1"/>
  <c r="H44" i="1"/>
  <c r="H45" i="1" s="1"/>
  <c r="H67" i="1" s="1"/>
  <c r="H79" i="1" s="1"/>
  <c r="BJ44" i="1"/>
  <c r="BJ45" i="1" s="1"/>
  <c r="BJ67" i="1" s="1"/>
  <c r="BJ79" i="1" s="1"/>
  <c r="BK44" i="1"/>
  <c r="BK45" i="1" s="1"/>
  <c r="BK67" i="1" s="1"/>
  <c r="BK79" i="1" s="1"/>
  <c r="BD67" i="1"/>
  <c r="BD79" i="1" s="1"/>
  <c r="Q61" i="1"/>
  <c r="Q90" i="1" s="1"/>
  <c r="R5" i="1"/>
  <c r="Q60" i="1"/>
  <c r="Q89" i="1" s="1"/>
  <c r="Q58" i="1"/>
  <c r="Q59" i="1"/>
  <c r="Q88" i="1" s="1"/>
  <c r="P87" i="1"/>
  <c r="P62" i="1"/>
  <c r="P63" i="1" s="1"/>
  <c r="S146" i="10"/>
  <c r="W145" i="10"/>
  <c r="M70" i="1" l="1"/>
  <c r="D71" i="1"/>
  <c r="D92" i="1" s="1"/>
  <c r="AE68" i="1"/>
  <c r="AE80" i="1" s="1"/>
  <c r="BI67" i="1"/>
  <c r="BI79" i="1" s="1"/>
  <c r="CE67" i="1"/>
  <c r="CE79" i="1" s="1"/>
  <c r="CD67" i="1"/>
  <c r="CD79" i="1" s="1"/>
  <c r="AC68" i="1"/>
  <c r="AC80" i="1" s="1"/>
  <c r="F71" i="1"/>
  <c r="F92" i="1" s="1"/>
  <c r="AM67" i="1"/>
  <c r="AM79" i="1" s="1"/>
  <c r="AW67" i="1"/>
  <c r="AW79" i="1" s="1"/>
  <c r="L70" i="1"/>
  <c r="L91" i="1" s="1"/>
  <c r="AF68" i="1"/>
  <c r="AF80" i="1" s="1"/>
  <c r="Y67" i="1"/>
  <c r="Y79" i="1" s="1"/>
  <c r="BH67" i="1"/>
  <c r="BH79" i="1" s="1"/>
  <c r="H70" i="1"/>
  <c r="H91" i="1" s="1"/>
  <c r="H94" i="1" s="1"/>
  <c r="CQ68" i="1"/>
  <c r="CQ80" i="1" s="1"/>
  <c r="S67" i="1"/>
  <c r="S79" i="1" s="1"/>
  <c r="AN68" i="1"/>
  <c r="AN80" i="1" s="1"/>
  <c r="G67" i="1"/>
  <c r="G79" i="1" s="1"/>
  <c r="BY68" i="1"/>
  <c r="BY80" i="1" s="1"/>
  <c r="P68" i="1"/>
  <c r="P80" i="1" s="1"/>
  <c r="CC67" i="1"/>
  <c r="CC79" i="1" s="1"/>
  <c r="CU68" i="1"/>
  <c r="CU80" i="1" s="1"/>
  <c r="CJ67" i="1"/>
  <c r="CJ79" i="1" s="1"/>
  <c r="BB67" i="1"/>
  <c r="BB79" i="1" s="1"/>
  <c r="CO68" i="1"/>
  <c r="CO80" i="1" s="1"/>
  <c r="CR67" i="1"/>
  <c r="CR79" i="1" s="1"/>
  <c r="CI68" i="1"/>
  <c r="CI80" i="1" s="1"/>
  <c r="AI68" i="1"/>
  <c r="AI80" i="1" s="1"/>
  <c r="AJ68" i="1"/>
  <c r="AJ80" i="1" s="1"/>
  <c r="K67" i="1"/>
  <c r="K79" i="1" s="1"/>
  <c r="BT68" i="1"/>
  <c r="BT80" i="1" s="1"/>
  <c r="O70" i="1"/>
  <c r="O91" i="1" s="1"/>
  <c r="CA67" i="1"/>
  <c r="CA79" i="1" s="1"/>
  <c r="BP67" i="1"/>
  <c r="BP79" i="1" s="1"/>
  <c r="BR67" i="1"/>
  <c r="BR79" i="1" s="1"/>
  <c r="AK67" i="1"/>
  <c r="AK79" i="1" s="1"/>
  <c r="BE67" i="1"/>
  <c r="BE79" i="1" s="1"/>
  <c r="N67" i="1"/>
  <c r="N79" i="1" s="1"/>
  <c r="W68" i="1"/>
  <c r="W80" i="1" s="1"/>
  <c r="AD68" i="1"/>
  <c r="AD80" i="1" s="1"/>
  <c r="C44" i="1"/>
  <c r="C45" i="1" s="1"/>
  <c r="AV68" i="1"/>
  <c r="AV80" i="1" s="1"/>
  <c r="BL68" i="1"/>
  <c r="BL80" i="1" s="1"/>
  <c r="AY67" i="1"/>
  <c r="AY79" i="1" s="1"/>
  <c r="E94" i="1"/>
  <c r="AR68" i="1"/>
  <c r="AR80" i="1" s="1"/>
  <c r="CP67" i="1"/>
  <c r="CP79" i="1" s="1"/>
  <c r="CB67" i="1"/>
  <c r="CB79" i="1" s="1"/>
  <c r="CW68" i="1"/>
  <c r="CW80" i="1" s="1"/>
  <c r="CS67" i="1"/>
  <c r="CS79" i="1" s="1"/>
  <c r="U67" i="1"/>
  <c r="U79" i="1" s="1"/>
  <c r="CX68" i="1"/>
  <c r="CX80" i="1" s="1"/>
  <c r="AB68" i="1"/>
  <c r="AB80" i="1" s="1"/>
  <c r="BG68" i="1"/>
  <c r="BG80" i="1" s="1"/>
  <c r="CN68" i="1"/>
  <c r="CN80" i="1" s="1"/>
  <c r="CH67" i="1"/>
  <c r="CH79" i="1" s="1"/>
  <c r="BX67" i="1"/>
  <c r="BX79" i="1" s="1"/>
  <c r="F68" i="1"/>
  <c r="F80" i="1" s="1"/>
  <c r="H68" i="1"/>
  <c r="H80" i="1" s="1"/>
  <c r="AU67" i="1"/>
  <c r="AU79" i="1" s="1"/>
  <c r="BF67" i="1"/>
  <c r="BF79" i="1" s="1"/>
  <c r="X67" i="1"/>
  <c r="X79" i="1" s="1"/>
  <c r="J70" i="1"/>
  <c r="J91" i="1" s="1"/>
  <c r="J94" i="1" s="1"/>
  <c r="CM67" i="1"/>
  <c r="CM79" i="1" s="1"/>
  <c r="E71" i="1"/>
  <c r="E92" i="1" s="1"/>
  <c r="CK67" i="1"/>
  <c r="CK79" i="1" s="1"/>
  <c r="L95" i="1"/>
  <c r="L67" i="1"/>
  <c r="L79" i="1" s="1"/>
  <c r="CL67" i="1"/>
  <c r="CL79" i="1" s="1"/>
  <c r="J68" i="1"/>
  <c r="J74" i="1" s="1"/>
  <c r="G71" i="1"/>
  <c r="G74" i="1" s="1"/>
  <c r="BM68" i="1"/>
  <c r="BM80" i="1" s="1"/>
  <c r="M67" i="1"/>
  <c r="M79" i="1" s="1"/>
  <c r="BO67" i="1"/>
  <c r="BO79" i="1" s="1"/>
  <c r="BW67" i="1"/>
  <c r="BW79" i="1" s="1"/>
  <c r="AS68" i="1"/>
  <c r="AS80" i="1" s="1"/>
  <c r="CG68" i="1"/>
  <c r="CG80" i="1" s="1"/>
  <c r="AZ68" i="1"/>
  <c r="AZ80" i="1" s="1"/>
  <c r="I67" i="1"/>
  <c r="I73" i="1" s="1"/>
  <c r="K70" i="1"/>
  <c r="K91" i="1" s="1"/>
  <c r="AG67" i="1"/>
  <c r="AG79" i="1" s="1"/>
  <c r="BK68" i="1"/>
  <c r="BK80" i="1" s="1"/>
  <c r="AX68" i="1"/>
  <c r="AX80" i="1" s="1"/>
  <c r="R68" i="1"/>
  <c r="R80" i="1" s="1"/>
  <c r="D68" i="1"/>
  <c r="D80" i="1" s="1"/>
  <c r="D95" i="1" s="1"/>
  <c r="CV68" i="1"/>
  <c r="CV80" i="1" s="1"/>
  <c r="AL67" i="1"/>
  <c r="AL79" i="1" s="1"/>
  <c r="AA67" i="1"/>
  <c r="AA79" i="1" s="1"/>
  <c r="BJ68" i="1"/>
  <c r="BJ80" i="1" s="1"/>
  <c r="AT68" i="1"/>
  <c r="AT80" i="1" s="1"/>
  <c r="C83" i="1"/>
  <c r="AO68" i="1"/>
  <c r="AO80" i="1" s="1"/>
  <c r="CT67" i="1"/>
  <c r="CT79" i="1" s="1"/>
  <c r="BS68" i="1"/>
  <c r="BS80" i="1" s="1"/>
  <c r="BA68" i="1"/>
  <c r="BA80" i="1" s="1"/>
  <c r="E68" i="1"/>
  <c r="E80" i="1" s="1"/>
  <c r="V68" i="1"/>
  <c r="V80" i="1" s="1"/>
  <c r="CY68" i="1"/>
  <c r="CY80" i="1" s="1"/>
  <c r="BC67" i="1"/>
  <c r="BC79" i="1" s="1"/>
  <c r="BZ68" i="1"/>
  <c r="BZ80" i="1" s="1"/>
  <c r="AH68" i="1"/>
  <c r="AH80" i="1" s="1"/>
  <c r="I71" i="1"/>
  <c r="I92" i="1" s="1"/>
  <c r="I95" i="1" s="1"/>
  <c r="BV67" i="1"/>
  <c r="BV79" i="1" s="1"/>
  <c r="BU68" i="1"/>
  <c r="BU80" i="1" s="1"/>
  <c r="BN68" i="1"/>
  <c r="BN80" i="1" s="1"/>
  <c r="Z68" i="1"/>
  <c r="Z80" i="1" s="1"/>
  <c r="AP68" i="1"/>
  <c r="AP80" i="1" s="1"/>
  <c r="AQ67" i="1"/>
  <c r="AQ79" i="1" s="1"/>
  <c r="AQ68" i="1"/>
  <c r="AQ80" i="1" s="1"/>
  <c r="O68" i="1"/>
  <c r="O80" i="1" s="1"/>
  <c r="O67" i="1"/>
  <c r="O79" i="1" s="1"/>
  <c r="CF68" i="1"/>
  <c r="CF80" i="1" s="1"/>
  <c r="CF67" i="1"/>
  <c r="CF79" i="1" s="1"/>
  <c r="Q67" i="1"/>
  <c r="Q79" i="1" s="1"/>
  <c r="N70" i="1"/>
  <c r="N91" i="1" s="1"/>
  <c r="T68" i="1"/>
  <c r="T80" i="1" s="1"/>
  <c r="T67" i="1"/>
  <c r="T79" i="1" s="1"/>
  <c r="BQ67" i="1"/>
  <c r="BQ79" i="1" s="1"/>
  <c r="BQ68" i="1"/>
  <c r="BQ80" i="1" s="1"/>
  <c r="N95" i="1"/>
  <c r="N74" i="1"/>
  <c r="L74" i="1"/>
  <c r="E73" i="1"/>
  <c r="M92" i="1"/>
  <c r="M95" i="1" s="1"/>
  <c r="M74" i="1"/>
  <c r="F91" i="1"/>
  <c r="F94" i="1" s="1"/>
  <c r="F73" i="1"/>
  <c r="M91" i="1"/>
  <c r="G91" i="1"/>
  <c r="H92" i="1"/>
  <c r="K92" i="1"/>
  <c r="K95" i="1" s="1"/>
  <c r="K74" i="1"/>
  <c r="D91" i="1"/>
  <c r="D94" i="1" s="1"/>
  <c r="D73" i="1"/>
  <c r="P70" i="1"/>
  <c r="P71" i="1"/>
  <c r="S5" i="1"/>
  <c r="R58" i="1"/>
  <c r="R61" i="1"/>
  <c r="R90" i="1" s="1"/>
  <c r="R60" i="1"/>
  <c r="R89" i="1" s="1"/>
  <c r="R59" i="1"/>
  <c r="R88" i="1" s="1"/>
  <c r="Q87" i="1"/>
  <c r="Q62" i="1"/>
  <c r="Q63" i="1" s="1"/>
  <c r="O92" i="1"/>
  <c r="W146" i="10"/>
  <c r="S148" i="10"/>
  <c r="S147" i="10"/>
  <c r="G94" i="1" l="1"/>
  <c r="L94" i="1"/>
  <c r="H73" i="1"/>
  <c r="G73" i="1"/>
  <c r="N94" i="1"/>
  <c r="K94" i="1"/>
  <c r="L73" i="1"/>
  <c r="D74" i="1"/>
  <c r="F95" i="1"/>
  <c r="M94" i="1"/>
  <c r="J80" i="1"/>
  <c r="J95" i="1" s="1"/>
  <c r="F74" i="1"/>
  <c r="J73" i="1"/>
  <c r="H74" i="1"/>
  <c r="H95" i="1"/>
  <c r="O74" i="1"/>
  <c r="E95" i="1"/>
  <c r="M73" i="1"/>
  <c r="E74" i="1"/>
  <c r="G92" i="1"/>
  <c r="G95" i="1" s="1"/>
  <c r="I79" i="1"/>
  <c r="I94" i="1" s="1"/>
  <c r="K73" i="1"/>
  <c r="O95" i="1"/>
  <c r="I74" i="1"/>
  <c r="O73" i="1"/>
  <c r="C67" i="1"/>
  <c r="C68" i="1"/>
  <c r="N73" i="1"/>
  <c r="R87" i="1"/>
  <c r="R62" i="1"/>
  <c r="R63" i="1" s="1"/>
  <c r="T5" i="1"/>
  <c r="S61" i="1"/>
  <c r="S90" i="1" s="1"/>
  <c r="S58" i="1"/>
  <c r="S60" i="1"/>
  <c r="S89" i="1" s="1"/>
  <c r="S59" i="1"/>
  <c r="S88" i="1" s="1"/>
  <c r="O94" i="1"/>
  <c r="P92" i="1"/>
  <c r="P95" i="1" s="1"/>
  <c r="P74" i="1"/>
  <c r="Q71" i="1"/>
  <c r="Q70" i="1"/>
  <c r="P91" i="1"/>
  <c r="P94" i="1" s="1"/>
  <c r="P73" i="1"/>
  <c r="W147" i="10"/>
  <c r="W148" i="10"/>
  <c r="C80" i="1" l="1"/>
  <c r="C79" i="1"/>
  <c r="U5" i="1"/>
  <c r="T60" i="1"/>
  <c r="T89" i="1" s="1"/>
  <c r="T59" i="1"/>
  <c r="T88" i="1" s="1"/>
  <c r="T61" i="1"/>
  <c r="T90" i="1" s="1"/>
  <c r="T58" i="1"/>
  <c r="Q92" i="1"/>
  <c r="Q95" i="1" s="1"/>
  <c r="Q74" i="1"/>
  <c r="R70" i="1"/>
  <c r="R71" i="1"/>
  <c r="S87" i="1"/>
  <c r="S62" i="1"/>
  <c r="S63" i="1" s="1"/>
  <c r="Q91" i="1"/>
  <c r="Q94" i="1" s="1"/>
  <c r="Q73" i="1"/>
  <c r="R92" i="1" l="1"/>
  <c r="R95" i="1" s="1"/>
  <c r="R74" i="1"/>
  <c r="S71" i="1"/>
  <c r="S70" i="1"/>
  <c r="R73" i="1"/>
  <c r="R91" i="1"/>
  <c r="R94" i="1" s="1"/>
  <c r="T87" i="1"/>
  <c r="T62" i="1"/>
  <c r="T63" i="1" s="1"/>
  <c r="U61" i="1"/>
  <c r="U90" i="1" s="1"/>
  <c r="U60" i="1"/>
  <c r="U89" i="1" s="1"/>
  <c r="U58" i="1"/>
  <c r="V5" i="1"/>
  <c r="U59" i="1"/>
  <c r="U88" i="1" s="1"/>
  <c r="U87" i="1" l="1"/>
  <c r="U62" i="1"/>
  <c r="U63" i="1" s="1"/>
  <c r="S92" i="1"/>
  <c r="S95" i="1" s="1"/>
  <c r="S74" i="1"/>
  <c r="W5" i="1"/>
  <c r="V58" i="1"/>
  <c r="V59" i="1"/>
  <c r="V88" i="1" s="1"/>
  <c r="V61" i="1"/>
  <c r="V90" i="1" s="1"/>
  <c r="V60" i="1"/>
  <c r="V89" i="1" s="1"/>
  <c r="T70" i="1"/>
  <c r="T71" i="1"/>
  <c r="S91" i="1"/>
  <c r="S94" i="1" s="1"/>
  <c r="S73" i="1"/>
  <c r="T92" i="1" l="1"/>
  <c r="T95" i="1" s="1"/>
  <c r="T74" i="1"/>
  <c r="T91" i="1"/>
  <c r="T94" i="1" s="1"/>
  <c r="T73" i="1"/>
  <c r="U71" i="1"/>
  <c r="U70" i="1"/>
  <c r="V87" i="1"/>
  <c r="V62" i="1"/>
  <c r="V63" i="1" s="1"/>
  <c r="W58" i="1"/>
  <c r="W61" i="1"/>
  <c r="W90" i="1" s="1"/>
  <c r="X5" i="1"/>
  <c r="W60" i="1"/>
  <c r="W89" i="1" s="1"/>
  <c r="W59" i="1"/>
  <c r="W88" i="1" s="1"/>
  <c r="V70" i="1" l="1"/>
  <c r="V71" i="1"/>
  <c r="X59" i="1"/>
  <c r="X88" i="1" s="1"/>
  <c r="X60" i="1"/>
  <c r="X89" i="1" s="1"/>
  <c r="X58" i="1"/>
  <c r="Y5" i="1"/>
  <c r="X61" i="1"/>
  <c r="X90" i="1" s="1"/>
  <c r="U91" i="1"/>
  <c r="U94" i="1" s="1"/>
  <c r="U73" i="1"/>
  <c r="W87" i="1"/>
  <c r="W62" i="1"/>
  <c r="W63" i="1" s="1"/>
  <c r="U92" i="1"/>
  <c r="U95" i="1" s="1"/>
  <c r="U74" i="1"/>
  <c r="Y60" i="1" l="1"/>
  <c r="Y89" i="1" s="1"/>
  <c r="Z5" i="1"/>
  <c r="Y59" i="1"/>
  <c r="Y88" i="1" s="1"/>
  <c r="Y61" i="1"/>
  <c r="Y90" i="1" s="1"/>
  <c r="Y58" i="1"/>
  <c r="V92" i="1"/>
  <c r="V95" i="1" s="1"/>
  <c r="V74" i="1"/>
  <c r="W71" i="1"/>
  <c r="W70" i="1"/>
  <c r="X87" i="1"/>
  <c r="X62" i="1"/>
  <c r="X63" i="1" s="1"/>
  <c r="V91" i="1"/>
  <c r="V94" i="1" s="1"/>
  <c r="V73" i="1"/>
  <c r="W92" i="1" l="1"/>
  <c r="W95" i="1" s="1"/>
  <c r="W74" i="1"/>
  <c r="X70" i="1"/>
  <c r="X71" i="1"/>
  <c r="AA5" i="1"/>
  <c r="Z61" i="1"/>
  <c r="Z90" i="1" s="1"/>
  <c r="Z59" i="1"/>
  <c r="Z88" i="1" s="1"/>
  <c r="Z58" i="1"/>
  <c r="Z60" i="1"/>
  <c r="Z89" i="1" s="1"/>
  <c r="W91" i="1"/>
  <c r="W94" i="1" s="1"/>
  <c r="W73" i="1"/>
  <c r="Y87" i="1"/>
  <c r="Y62" i="1"/>
  <c r="Y63" i="1" s="1"/>
  <c r="Z87" i="1" l="1"/>
  <c r="Z62" i="1"/>
  <c r="Z63" i="1" s="1"/>
  <c r="X92" i="1"/>
  <c r="X95" i="1" s="1"/>
  <c r="X74" i="1"/>
  <c r="X91" i="1"/>
  <c r="X94" i="1" s="1"/>
  <c r="X73" i="1"/>
  <c r="Y70" i="1"/>
  <c r="Y71" i="1"/>
  <c r="AB5" i="1"/>
  <c r="AA61" i="1"/>
  <c r="AA90" i="1" s="1"/>
  <c r="AA58" i="1"/>
  <c r="AA59" i="1"/>
  <c r="AA88" i="1" s="1"/>
  <c r="AA60" i="1"/>
  <c r="AA89" i="1" s="1"/>
  <c r="Y92" i="1" l="1"/>
  <c r="Y95" i="1" s="1"/>
  <c r="Y74" i="1"/>
  <c r="AA87" i="1"/>
  <c r="AA62" i="1"/>
  <c r="AA63" i="1" s="1"/>
  <c r="Y91" i="1"/>
  <c r="Y94" i="1" s="1"/>
  <c r="Y73" i="1"/>
  <c r="Z71" i="1"/>
  <c r="Z70" i="1"/>
  <c r="AC5" i="1"/>
  <c r="AB61" i="1"/>
  <c r="AB90" i="1" s="1"/>
  <c r="AB59" i="1"/>
  <c r="AB88" i="1" s="1"/>
  <c r="AB58" i="1"/>
  <c r="AB60" i="1"/>
  <c r="AB89" i="1" s="1"/>
  <c r="AB87" i="1" l="1"/>
  <c r="AB62" i="1"/>
  <c r="AB63" i="1" s="1"/>
  <c r="Z73" i="1"/>
  <c r="Z91" i="1"/>
  <c r="Z94" i="1" s="1"/>
  <c r="AA71" i="1"/>
  <c r="AA70" i="1"/>
  <c r="Z92" i="1"/>
  <c r="Z95" i="1" s="1"/>
  <c r="Z74" i="1"/>
  <c r="AC61" i="1"/>
  <c r="AC90" i="1" s="1"/>
  <c r="AC59" i="1"/>
  <c r="AC88" i="1" s="1"/>
  <c r="AC60" i="1"/>
  <c r="AC89" i="1" s="1"/>
  <c r="AC58" i="1"/>
  <c r="AD5" i="1"/>
  <c r="AC87" i="1" l="1"/>
  <c r="AC62" i="1"/>
  <c r="AC63" i="1" s="1"/>
  <c r="AA91" i="1"/>
  <c r="AA94" i="1" s="1"/>
  <c r="AA73" i="1"/>
  <c r="AB70" i="1"/>
  <c r="AB71" i="1"/>
  <c r="AD58" i="1"/>
  <c r="AD59" i="1"/>
  <c r="AD88" i="1" s="1"/>
  <c r="AD60" i="1"/>
  <c r="AD89" i="1" s="1"/>
  <c r="AD61" i="1"/>
  <c r="AD90" i="1" s="1"/>
  <c r="AE5" i="1"/>
  <c r="AA92" i="1"/>
  <c r="AA95" i="1" s="1"/>
  <c r="AA74" i="1"/>
  <c r="AD87" i="1" l="1"/>
  <c r="AD62" i="1"/>
  <c r="AD63" i="1" s="1"/>
  <c r="AB92" i="1"/>
  <c r="AB95" i="1" s="1"/>
  <c r="AB74" i="1"/>
  <c r="AC70" i="1"/>
  <c r="AC71" i="1"/>
  <c r="AE61" i="1"/>
  <c r="AE90" i="1" s="1"/>
  <c r="AE59" i="1"/>
  <c r="AE88" i="1" s="1"/>
  <c r="AE58" i="1"/>
  <c r="AF5" i="1"/>
  <c r="AE60" i="1"/>
  <c r="AE89" i="1" s="1"/>
  <c r="AB91" i="1"/>
  <c r="AB94" i="1" s="1"/>
  <c r="AB73" i="1"/>
  <c r="AF59" i="1" l="1"/>
  <c r="AF88" i="1" s="1"/>
  <c r="AF61" i="1"/>
  <c r="AF90" i="1" s="1"/>
  <c r="AG5" i="1"/>
  <c r="AF60" i="1"/>
  <c r="AF89" i="1" s="1"/>
  <c r="AF58" i="1"/>
  <c r="AC74" i="1"/>
  <c r="AC92" i="1"/>
  <c r="AC95" i="1" s="1"/>
  <c r="AD71" i="1"/>
  <c r="AD70" i="1"/>
  <c r="AE87" i="1"/>
  <c r="AE62" i="1"/>
  <c r="AE63" i="1" s="1"/>
  <c r="AC91" i="1"/>
  <c r="AC94" i="1" s="1"/>
  <c r="AC73" i="1"/>
  <c r="AD92" i="1" l="1"/>
  <c r="AD95" i="1" s="1"/>
  <c r="AD74" i="1"/>
  <c r="AE70" i="1"/>
  <c r="AE71" i="1"/>
  <c r="AG60" i="1"/>
  <c r="AG89" i="1" s="1"/>
  <c r="AH5" i="1"/>
  <c r="AG58" i="1"/>
  <c r="AG61" i="1"/>
  <c r="AG90" i="1" s="1"/>
  <c r="AG59" i="1"/>
  <c r="AG88" i="1" s="1"/>
  <c r="AD91" i="1"/>
  <c r="AD94" i="1" s="1"/>
  <c r="AD73" i="1"/>
  <c r="AF87" i="1"/>
  <c r="AF62" i="1"/>
  <c r="AF63" i="1" s="1"/>
  <c r="AE92" i="1" l="1"/>
  <c r="AE95" i="1" s="1"/>
  <c r="AE74" i="1"/>
  <c r="AF70" i="1"/>
  <c r="AF71" i="1"/>
  <c r="AG87" i="1"/>
  <c r="AG62" i="1"/>
  <c r="AG63" i="1" s="1"/>
  <c r="AE91" i="1"/>
  <c r="AE94" i="1" s="1"/>
  <c r="AE73" i="1"/>
  <c r="AI5" i="1"/>
  <c r="AH61" i="1"/>
  <c r="AH90" i="1" s="1"/>
  <c r="AH58" i="1"/>
  <c r="AH60" i="1"/>
  <c r="AH89" i="1" s="1"/>
  <c r="AH59" i="1"/>
  <c r="AH88" i="1" s="1"/>
  <c r="AF92" i="1" l="1"/>
  <c r="AF95" i="1" s="1"/>
  <c r="AF74" i="1"/>
  <c r="AH87" i="1"/>
  <c r="AH62" i="1"/>
  <c r="AH63" i="1" s="1"/>
  <c r="AF91" i="1"/>
  <c r="AF94" i="1" s="1"/>
  <c r="AF73" i="1"/>
  <c r="AG71" i="1"/>
  <c r="AG70" i="1"/>
  <c r="AI61" i="1"/>
  <c r="AI90" i="1" s="1"/>
  <c r="AI59" i="1"/>
  <c r="AI88" i="1" s="1"/>
  <c r="AI60" i="1"/>
  <c r="AI89" i="1" s="1"/>
  <c r="AI58" i="1"/>
  <c r="AJ5" i="1"/>
  <c r="AH70" i="1" l="1"/>
  <c r="AH71" i="1"/>
  <c r="AI87" i="1"/>
  <c r="AI62" i="1"/>
  <c r="AI63" i="1" s="1"/>
  <c r="AG91" i="1"/>
  <c r="AG94" i="1" s="1"/>
  <c r="AG73" i="1"/>
  <c r="AG92" i="1"/>
  <c r="AG95" i="1" s="1"/>
  <c r="AG74" i="1"/>
  <c r="AJ58" i="1"/>
  <c r="AK5" i="1"/>
  <c r="AJ61" i="1"/>
  <c r="AJ90" i="1" s="1"/>
  <c r="AJ60" i="1"/>
  <c r="AJ89" i="1" s="1"/>
  <c r="AJ59" i="1"/>
  <c r="AJ88" i="1" s="1"/>
  <c r="AI70" i="1" l="1"/>
  <c r="AI71" i="1"/>
  <c r="AK59" i="1"/>
  <c r="AK88" i="1" s="1"/>
  <c r="AK58" i="1"/>
  <c r="AL5" i="1"/>
  <c r="AK61" i="1"/>
  <c r="AK90" i="1" s="1"/>
  <c r="AK60" i="1"/>
  <c r="AK89" i="1" s="1"/>
  <c r="AH92" i="1"/>
  <c r="AH95" i="1" s="1"/>
  <c r="AH74" i="1"/>
  <c r="AJ87" i="1"/>
  <c r="AJ62" i="1"/>
  <c r="AJ63" i="1" s="1"/>
  <c r="AH91" i="1"/>
  <c r="AH94" i="1" s="1"/>
  <c r="AH73" i="1"/>
  <c r="AJ71" i="1" l="1"/>
  <c r="AJ70" i="1"/>
  <c r="AI74" i="1"/>
  <c r="AI92" i="1"/>
  <c r="AI95" i="1" s="1"/>
  <c r="AK87" i="1"/>
  <c r="AK62" i="1"/>
  <c r="AK63" i="1" s="1"/>
  <c r="AM5" i="1"/>
  <c r="AL61" i="1"/>
  <c r="AL90" i="1" s="1"/>
  <c r="AL60" i="1"/>
  <c r="AL89" i="1" s="1"/>
  <c r="AL59" i="1"/>
  <c r="AL88" i="1" s="1"/>
  <c r="AL58" i="1"/>
  <c r="AI91" i="1"/>
  <c r="AI94" i="1" s="1"/>
  <c r="AI73" i="1"/>
  <c r="AM59" i="1" l="1"/>
  <c r="AM88" i="1" s="1"/>
  <c r="AM58" i="1"/>
  <c r="AN5" i="1"/>
  <c r="AM61" i="1"/>
  <c r="AM90" i="1" s="1"/>
  <c r="AM60" i="1"/>
  <c r="AM89" i="1" s="1"/>
  <c r="AL87" i="1"/>
  <c r="AL62" i="1"/>
  <c r="AL63" i="1" s="1"/>
  <c r="AK71" i="1"/>
  <c r="AK70" i="1"/>
  <c r="AJ91" i="1"/>
  <c r="AJ94" i="1" s="1"/>
  <c r="AJ73" i="1"/>
  <c r="AJ92" i="1"/>
  <c r="AJ95" i="1" s="1"/>
  <c r="AJ74" i="1"/>
  <c r="AK92" i="1" l="1"/>
  <c r="AK95" i="1" s="1"/>
  <c r="AK74" i="1"/>
  <c r="AL71" i="1"/>
  <c r="AL70" i="1"/>
  <c r="AN61" i="1"/>
  <c r="AN90" i="1" s="1"/>
  <c r="AN60" i="1"/>
  <c r="AN89" i="1" s="1"/>
  <c r="AN59" i="1"/>
  <c r="AN88" i="1" s="1"/>
  <c r="AN58" i="1"/>
  <c r="AO5" i="1"/>
  <c r="AM87" i="1"/>
  <c r="AM62" i="1"/>
  <c r="AM63" i="1" s="1"/>
  <c r="AK91" i="1"/>
  <c r="AK94" i="1" s="1"/>
  <c r="AK73" i="1"/>
  <c r="AN87" i="1" l="1"/>
  <c r="AN62" i="1"/>
  <c r="AN63" i="1" s="1"/>
  <c r="AL91" i="1"/>
  <c r="AL94" i="1" s="1"/>
  <c r="AL73" i="1"/>
  <c r="AL92" i="1"/>
  <c r="AL95" i="1" s="1"/>
  <c r="AL74" i="1"/>
  <c r="AM70" i="1"/>
  <c r="AM71" i="1"/>
  <c r="AO58" i="1"/>
  <c r="AO60" i="1"/>
  <c r="AO89" i="1" s="1"/>
  <c r="AO61" i="1"/>
  <c r="AO90" i="1" s="1"/>
  <c r="AP5" i="1"/>
  <c r="AO59" i="1"/>
  <c r="AO88" i="1" s="1"/>
  <c r="AP58" i="1" l="1"/>
  <c r="AQ5" i="1"/>
  <c r="AP59" i="1"/>
  <c r="AP88" i="1" s="1"/>
  <c r="AP60" i="1"/>
  <c r="AP89" i="1" s="1"/>
  <c r="AP61" i="1"/>
  <c r="AP90" i="1" s="1"/>
  <c r="AM92" i="1"/>
  <c r="AM95" i="1" s="1"/>
  <c r="AM74" i="1"/>
  <c r="AM91" i="1"/>
  <c r="AM94" i="1" s="1"/>
  <c r="AM73" i="1"/>
  <c r="AN71" i="1"/>
  <c r="AN70" i="1"/>
  <c r="AO87" i="1"/>
  <c r="AO62" i="1"/>
  <c r="AO63" i="1" s="1"/>
  <c r="AN91" i="1" l="1"/>
  <c r="AN94" i="1" s="1"/>
  <c r="AN73" i="1"/>
  <c r="AN92" i="1"/>
  <c r="AN95" i="1" s="1"/>
  <c r="AN74" i="1"/>
  <c r="AQ60" i="1"/>
  <c r="AQ89" i="1" s="1"/>
  <c r="AQ58" i="1"/>
  <c r="AQ59" i="1"/>
  <c r="AQ88" i="1" s="1"/>
  <c r="AQ61" i="1"/>
  <c r="AQ90" i="1" s="1"/>
  <c r="AR5" i="1"/>
  <c r="AO71" i="1"/>
  <c r="AO70" i="1"/>
  <c r="AP87" i="1"/>
  <c r="AP62" i="1"/>
  <c r="AP63" i="1" s="1"/>
  <c r="AO91" i="1" l="1"/>
  <c r="AO94" i="1" s="1"/>
  <c r="AO73" i="1"/>
  <c r="AO92" i="1"/>
  <c r="AO95" i="1" s="1"/>
  <c r="AO74" i="1"/>
  <c r="AQ87" i="1"/>
  <c r="AQ62" i="1"/>
  <c r="AQ63" i="1" s="1"/>
  <c r="AP70" i="1"/>
  <c r="AP71" i="1"/>
  <c r="AR60" i="1"/>
  <c r="AR89" i="1" s="1"/>
  <c r="AR61" i="1"/>
  <c r="AR90" i="1" s="1"/>
  <c r="AS5" i="1"/>
  <c r="AR58" i="1"/>
  <c r="AR59" i="1"/>
  <c r="AR88" i="1" s="1"/>
  <c r="AR87" i="1" l="1"/>
  <c r="AR62" i="1"/>
  <c r="AR63" i="1" s="1"/>
  <c r="AP92" i="1"/>
  <c r="AP95" i="1" s="1"/>
  <c r="AP74" i="1"/>
  <c r="AS60" i="1"/>
  <c r="AS89" i="1" s="1"/>
  <c r="AS58" i="1"/>
  <c r="AS59" i="1"/>
  <c r="AS88" i="1" s="1"/>
  <c r="AT5" i="1"/>
  <c r="AS61" i="1"/>
  <c r="AS90" i="1" s="1"/>
  <c r="AP91" i="1"/>
  <c r="AP94" i="1" s="1"/>
  <c r="AP73" i="1"/>
  <c r="AQ71" i="1"/>
  <c r="AQ70" i="1"/>
  <c r="AQ92" i="1" l="1"/>
  <c r="AQ95" i="1" s="1"/>
  <c r="AQ74" i="1"/>
  <c r="AT60" i="1"/>
  <c r="AT89" i="1" s="1"/>
  <c r="AU5" i="1"/>
  <c r="AT58" i="1"/>
  <c r="AT61" i="1"/>
  <c r="AT90" i="1" s="1"/>
  <c r="AT59" i="1"/>
  <c r="AT88" i="1" s="1"/>
  <c r="AS87" i="1"/>
  <c r="AS62" i="1"/>
  <c r="AS63" i="1" s="1"/>
  <c r="AR71" i="1"/>
  <c r="AR70" i="1"/>
  <c r="AQ91" i="1"/>
  <c r="AQ94" i="1" s="1"/>
  <c r="AQ73" i="1"/>
  <c r="AV5" i="1" l="1"/>
  <c r="AU59" i="1"/>
  <c r="AU88" i="1" s="1"/>
  <c r="AU61" i="1"/>
  <c r="AU90" i="1" s="1"/>
  <c r="AU60" i="1"/>
  <c r="AU89" i="1" s="1"/>
  <c r="AU58" i="1"/>
  <c r="AR92" i="1"/>
  <c r="AR95" i="1" s="1"/>
  <c r="AR74" i="1"/>
  <c r="AR91" i="1"/>
  <c r="AR94" i="1" s="1"/>
  <c r="AR73" i="1"/>
  <c r="AS70" i="1"/>
  <c r="AS71" i="1"/>
  <c r="AT87" i="1"/>
  <c r="AT62" i="1"/>
  <c r="AT63" i="1" s="1"/>
  <c r="AS92" i="1" l="1"/>
  <c r="AS95" i="1" s="1"/>
  <c r="AS74" i="1"/>
  <c r="AS91" i="1"/>
  <c r="AS94" i="1" s="1"/>
  <c r="AS73" i="1"/>
  <c r="AT71" i="1"/>
  <c r="AT70" i="1"/>
  <c r="AU87" i="1"/>
  <c r="AU62" i="1"/>
  <c r="AU63" i="1" s="1"/>
  <c r="AV61" i="1"/>
  <c r="AV90" i="1" s="1"/>
  <c r="AV58" i="1"/>
  <c r="AV59" i="1"/>
  <c r="AV88" i="1" s="1"/>
  <c r="AW5" i="1"/>
  <c r="AV60" i="1"/>
  <c r="AV89" i="1" s="1"/>
  <c r="AU71" i="1" l="1"/>
  <c r="AU70" i="1"/>
  <c r="AX5" i="1"/>
  <c r="AW59" i="1"/>
  <c r="AW88" i="1" s="1"/>
  <c r="AW61" i="1"/>
  <c r="AW90" i="1" s="1"/>
  <c r="AW58" i="1"/>
  <c r="AW60" i="1"/>
  <c r="AW89" i="1" s="1"/>
  <c r="AV87" i="1"/>
  <c r="AV62" i="1"/>
  <c r="AV63" i="1" s="1"/>
  <c r="AT91" i="1"/>
  <c r="AT94" i="1" s="1"/>
  <c r="AT73" i="1"/>
  <c r="AT92" i="1"/>
  <c r="AT95" i="1" s="1"/>
  <c r="AT74" i="1"/>
  <c r="AX61" i="1" l="1"/>
  <c r="AX90" i="1" s="1"/>
  <c r="AX59" i="1"/>
  <c r="AX88" i="1" s="1"/>
  <c r="AX58" i="1"/>
  <c r="AY5" i="1"/>
  <c r="AX60" i="1"/>
  <c r="AX89" i="1" s="1"/>
  <c r="AW87" i="1"/>
  <c r="AW62" i="1"/>
  <c r="AW63" i="1" s="1"/>
  <c r="AU91" i="1"/>
  <c r="AU94" i="1" s="1"/>
  <c r="AU73" i="1"/>
  <c r="AV71" i="1"/>
  <c r="AV70" i="1"/>
  <c r="AU92" i="1"/>
  <c r="AU95" i="1" s="1"/>
  <c r="AU74" i="1"/>
  <c r="AX87" i="1" l="1"/>
  <c r="AX62" i="1"/>
  <c r="AX63" i="1" s="1"/>
  <c r="AW71" i="1"/>
  <c r="AW70" i="1"/>
  <c r="AV92" i="1"/>
  <c r="AV95" i="1" s="1"/>
  <c r="AV74" i="1"/>
  <c r="AY59" i="1"/>
  <c r="AY88" i="1" s="1"/>
  <c r="AY58" i="1"/>
  <c r="AZ5" i="1"/>
  <c r="AY60" i="1"/>
  <c r="AY89" i="1" s="1"/>
  <c r="AY61" i="1"/>
  <c r="AY90" i="1" s="1"/>
  <c r="AV73" i="1"/>
  <c r="AV91" i="1"/>
  <c r="AV94" i="1" s="1"/>
  <c r="AW92" i="1" l="1"/>
  <c r="AW95" i="1" s="1"/>
  <c r="AW74" i="1"/>
  <c r="AX70" i="1"/>
  <c r="AX71" i="1"/>
  <c r="AY87" i="1"/>
  <c r="AY62" i="1"/>
  <c r="AY63" i="1" s="1"/>
  <c r="AW73" i="1"/>
  <c r="AW91" i="1"/>
  <c r="AW94" i="1" s="1"/>
  <c r="AZ59" i="1"/>
  <c r="AZ88" i="1" s="1"/>
  <c r="BA5" i="1"/>
  <c r="AZ58" i="1"/>
  <c r="AZ60" i="1"/>
  <c r="AZ89" i="1" s="1"/>
  <c r="AZ61" i="1"/>
  <c r="AZ90" i="1" s="1"/>
  <c r="AX92" i="1" l="1"/>
  <c r="AX95" i="1" s="1"/>
  <c r="AX74" i="1"/>
  <c r="AZ87" i="1"/>
  <c r="AZ62" i="1"/>
  <c r="AZ63" i="1" s="1"/>
  <c r="AX91" i="1"/>
  <c r="AX94" i="1" s="1"/>
  <c r="AX73" i="1"/>
  <c r="BA60" i="1"/>
  <c r="BA89" i="1" s="1"/>
  <c r="BB5" i="1"/>
  <c r="BA58" i="1"/>
  <c r="BA59" i="1"/>
  <c r="BA88" i="1" s="1"/>
  <c r="BA61" i="1"/>
  <c r="BA90" i="1" s="1"/>
  <c r="AY71" i="1"/>
  <c r="AY70" i="1"/>
  <c r="BC5" i="1" l="1"/>
  <c r="BB58" i="1"/>
  <c r="BB61" i="1"/>
  <c r="BB90" i="1" s="1"/>
  <c r="BB59" i="1"/>
  <c r="BB88" i="1" s="1"/>
  <c r="BB60" i="1"/>
  <c r="BB89" i="1" s="1"/>
  <c r="AZ70" i="1"/>
  <c r="AZ71" i="1"/>
  <c r="AY92" i="1"/>
  <c r="AY95" i="1" s="1"/>
  <c r="AY74" i="1"/>
  <c r="AY91" i="1"/>
  <c r="AY94" i="1" s="1"/>
  <c r="AY73" i="1"/>
  <c r="BA87" i="1"/>
  <c r="BA62" i="1"/>
  <c r="BA63" i="1" s="1"/>
  <c r="AZ92" i="1" l="1"/>
  <c r="AZ95" i="1" s="1"/>
  <c r="AZ74" i="1"/>
  <c r="AZ91" i="1"/>
  <c r="AZ94" i="1" s="1"/>
  <c r="AZ73" i="1"/>
  <c r="BB87" i="1"/>
  <c r="BB62" i="1"/>
  <c r="BB63" i="1" s="1"/>
  <c r="BA71" i="1"/>
  <c r="BA70" i="1"/>
  <c r="BC60" i="1"/>
  <c r="BC89" i="1" s="1"/>
  <c r="BC59" i="1"/>
  <c r="BC88" i="1" s="1"/>
  <c r="BC61" i="1"/>
  <c r="BC90" i="1" s="1"/>
  <c r="BD5" i="1"/>
  <c r="BC58" i="1"/>
  <c r="BD59" i="1" l="1"/>
  <c r="BD88" i="1" s="1"/>
  <c r="BD61" i="1"/>
  <c r="BD90" i="1" s="1"/>
  <c r="BD60" i="1"/>
  <c r="BD89" i="1" s="1"/>
  <c r="BD58" i="1"/>
  <c r="BE5" i="1"/>
  <c r="BA91" i="1"/>
  <c r="BA94" i="1" s="1"/>
  <c r="BA73" i="1"/>
  <c r="BA92" i="1"/>
  <c r="BA95" i="1" s="1"/>
  <c r="BA74" i="1"/>
  <c r="BB70" i="1"/>
  <c r="BB71" i="1"/>
  <c r="BC87" i="1"/>
  <c r="BC62" i="1"/>
  <c r="BC63" i="1" s="1"/>
  <c r="BB91" i="1" l="1"/>
  <c r="BB94" i="1" s="1"/>
  <c r="BB73" i="1"/>
  <c r="BD87" i="1"/>
  <c r="BD62" i="1"/>
  <c r="BD63" i="1" s="1"/>
  <c r="BB92" i="1"/>
  <c r="BB95" i="1" s="1"/>
  <c r="BB74" i="1"/>
  <c r="BC71" i="1"/>
  <c r="BC70" i="1"/>
  <c r="BE58" i="1"/>
  <c r="BE59" i="1"/>
  <c r="BE88" i="1" s="1"/>
  <c r="BE61" i="1"/>
  <c r="BE90" i="1" s="1"/>
  <c r="BF5" i="1"/>
  <c r="BE60" i="1"/>
  <c r="BE89" i="1" s="1"/>
  <c r="BC92" i="1" l="1"/>
  <c r="BC95" i="1" s="1"/>
  <c r="BC74" i="1"/>
  <c r="BD71" i="1"/>
  <c r="BD70" i="1"/>
  <c r="BG5" i="1"/>
  <c r="BF61" i="1"/>
  <c r="BF90" i="1" s="1"/>
  <c r="BF60" i="1"/>
  <c r="BF89" i="1" s="1"/>
  <c r="BF58" i="1"/>
  <c r="BF59" i="1"/>
  <c r="BF88" i="1" s="1"/>
  <c r="BC91" i="1"/>
  <c r="BC94" i="1" s="1"/>
  <c r="BC73" i="1"/>
  <c r="BE87" i="1"/>
  <c r="BE62" i="1"/>
  <c r="BE63" i="1" s="1"/>
  <c r="BD92" i="1" l="1"/>
  <c r="BD95" i="1" s="1"/>
  <c r="BD74" i="1"/>
  <c r="BF87" i="1"/>
  <c r="BF62" i="1"/>
  <c r="BF63" i="1" s="1"/>
  <c r="BD91" i="1"/>
  <c r="BD94" i="1" s="1"/>
  <c r="BD73" i="1"/>
  <c r="BE71" i="1"/>
  <c r="BE70" i="1"/>
  <c r="BG61" i="1"/>
  <c r="BG90" i="1" s="1"/>
  <c r="BG59" i="1"/>
  <c r="BG88" i="1" s="1"/>
  <c r="BG60" i="1"/>
  <c r="BG89" i="1" s="1"/>
  <c r="BH5" i="1"/>
  <c r="BG58" i="1"/>
  <c r="BF70" i="1" l="1"/>
  <c r="BF71" i="1"/>
  <c r="BI5" i="1"/>
  <c r="BH58" i="1"/>
  <c r="BH60" i="1"/>
  <c r="BH89" i="1" s="1"/>
  <c r="BH61" i="1"/>
  <c r="BH90" i="1" s="1"/>
  <c r="BH59" i="1"/>
  <c r="BH88" i="1" s="1"/>
  <c r="BE91" i="1"/>
  <c r="BE94" i="1" s="1"/>
  <c r="BE73" i="1"/>
  <c r="BE74" i="1"/>
  <c r="BE92" i="1"/>
  <c r="BE95" i="1" s="1"/>
  <c r="BG87" i="1"/>
  <c r="BG62" i="1"/>
  <c r="BG63" i="1" s="1"/>
  <c r="BJ5" i="1" l="1"/>
  <c r="BI61" i="1"/>
  <c r="BI90" i="1" s="1"/>
  <c r="BI58" i="1"/>
  <c r="BI59" i="1"/>
  <c r="BI88" i="1" s="1"/>
  <c r="BI60" i="1"/>
  <c r="BI89" i="1" s="1"/>
  <c r="BH87" i="1"/>
  <c r="BH62" i="1"/>
  <c r="BH63" i="1" s="1"/>
  <c r="BF92" i="1"/>
  <c r="BF95" i="1" s="1"/>
  <c r="BF74" i="1"/>
  <c r="BG71" i="1"/>
  <c r="BG70" i="1"/>
  <c r="BF91" i="1"/>
  <c r="BF94" i="1" s="1"/>
  <c r="BF73" i="1"/>
  <c r="BI87" i="1" l="1"/>
  <c r="BI62" i="1"/>
  <c r="BI63" i="1" s="1"/>
  <c r="BG91" i="1"/>
  <c r="BG94" i="1" s="1"/>
  <c r="BG73" i="1"/>
  <c r="BG92" i="1"/>
  <c r="BG95" i="1" s="1"/>
  <c r="BG74" i="1"/>
  <c r="BH71" i="1"/>
  <c r="BH70" i="1"/>
  <c r="BJ61" i="1"/>
  <c r="BJ90" i="1" s="1"/>
  <c r="BJ60" i="1"/>
  <c r="BJ89" i="1" s="1"/>
  <c r="BJ58" i="1"/>
  <c r="BJ59" i="1"/>
  <c r="BJ88" i="1" s="1"/>
  <c r="BK5" i="1"/>
  <c r="BJ87" i="1" l="1"/>
  <c r="BJ62" i="1"/>
  <c r="BJ63" i="1" s="1"/>
  <c r="BH92" i="1"/>
  <c r="BH95" i="1" s="1"/>
  <c r="BH74" i="1"/>
  <c r="BI71" i="1"/>
  <c r="BI70" i="1"/>
  <c r="BH91" i="1"/>
  <c r="BH94" i="1" s="1"/>
  <c r="BH73" i="1"/>
  <c r="BK59" i="1"/>
  <c r="BK88" i="1" s="1"/>
  <c r="BL5" i="1"/>
  <c r="BK58" i="1"/>
  <c r="BK61" i="1"/>
  <c r="BK90" i="1" s="1"/>
  <c r="BK60" i="1"/>
  <c r="BK89" i="1" s="1"/>
  <c r="BK87" i="1" l="1"/>
  <c r="BK62" i="1"/>
  <c r="BK63" i="1" s="1"/>
  <c r="BL59" i="1"/>
  <c r="BL88" i="1" s="1"/>
  <c r="BL58" i="1"/>
  <c r="BM5" i="1"/>
  <c r="BL61" i="1"/>
  <c r="BL90" i="1" s="1"/>
  <c r="BL60" i="1"/>
  <c r="BL89" i="1" s="1"/>
  <c r="BI91" i="1"/>
  <c r="BI94" i="1" s="1"/>
  <c r="BI73" i="1"/>
  <c r="BJ71" i="1"/>
  <c r="BJ70" i="1"/>
  <c r="BI92" i="1"/>
  <c r="BI95" i="1" s="1"/>
  <c r="BI74" i="1"/>
  <c r="BJ92" i="1" l="1"/>
  <c r="BJ95" i="1" s="1"/>
  <c r="BJ74" i="1"/>
  <c r="BK70" i="1"/>
  <c r="BK71" i="1"/>
  <c r="BL87" i="1"/>
  <c r="BL62" i="1"/>
  <c r="BL63" i="1" s="1"/>
  <c r="BJ91" i="1"/>
  <c r="BJ94" i="1" s="1"/>
  <c r="BJ73" i="1"/>
  <c r="BM60" i="1"/>
  <c r="BM89" i="1" s="1"/>
  <c r="BN5" i="1"/>
  <c r="BM59" i="1"/>
  <c r="BM88" i="1" s="1"/>
  <c r="BM58" i="1"/>
  <c r="BM61" i="1"/>
  <c r="BM90" i="1" s="1"/>
  <c r="BN61" i="1" l="1"/>
  <c r="BN90" i="1" s="1"/>
  <c r="BN58" i="1"/>
  <c r="BN60" i="1"/>
  <c r="BN89" i="1" s="1"/>
  <c r="BN59" i="1"/>
  <c r="BN88" i="1" s="1"/>
  <c r="BO5" i="1"/>
  <c r="BM87" i="1"/>
  <c r="BM62" i="1"/>
  <c r="BM63" i="1" s="1"/>
  <c r="BK92" i="1"/>
  <c r="BK95" i="1" s="1"/>
  <c r="BK74" i="1"/>
  <c r="BK73" i="1"/>
  <c r="BK91" i="1"/>
  <c r="BK94" i="1" s="1"/>
  <c r="BL71" i="1"/>
  <c r="BL70" i="1"/>
  <c r="BL92" i="1" l="1"/>
  <c r="BL95" i="1" s="1"/>
  <c r="BL74" i="1"/>
  <c r="BN87" i="1"/>
  <c r="BN62" i="1"/>
  <c r="BN63" i="1" s="1"/>
  <c r="BM71" i="1"/>
  <c r="BM70" i="1"/>
  <c r="BL91" i="1"/>
  <c r="BL94" i="1" s="1"/>
  <c r="BL73" i="1"/>
  <c r="BO58" i="1"/>
  <c r="BP5" i="1"/>
  <c r="BO60" i="1"/>
  <c r="BO89" i="1" s="1"/>
  <c r="BO61" i="1"/>
  <c r="BO90" i="1" s="1"/>
  <c r="BO59" i="1"/>
  <c r="BO88" i="1" s="1"/>
  <c r="BP61" i="1" l="1"/>
  <c r="BP90" i="1" s="1"/>
  <c r="BP60" i="1"/>
  <c r="BP89" i="1" s="1"/>
  <c r="BP59" i="1"/>
  <c r="BP88" i="1" s="1"/>
  <c r="BP58" i="1"/>
  <c r="BQ5" i="1"/>
  <c r="BM91" i="1"/>
  <c r="BM94" i="1" s="1"/>
  <c r="BM73" i="1"/>
  <c r="BN71" i="1"/>
  <c r="BN70" i="1"/>
  <c r="BO87" i="1"/>
  <c r="BO62" i="1"/>
  <c r="BO63" i="1" s="1"/>
  <c r="BM92" i="1"/>
  <c r="BM95" i="1" s="1"/>
  <c r="BM74" i="1"/>
  <c r="BP87" i="1" l="1"/>
  <c r="BP62" i="1"/>
  <c r="BP63" i="1" s="1"/>
  <c r="BN92" i="1"/>
  <c r="BN95" i="1" s="1"/>
  <c r="BN74" i="1"/>
  <c r="BO70" i="1"/>
  <c r="BO71" i="1"/>
  <c r="BN91" i="1"/>
  <c r="BN94" i="1" s="1"/>
  <c r="BN73" i="1"/>
  <c r="BQ61" i="1"/>
  <c r="BQ90" i="1" s="1"/>
  <c r="BR5" i="1"/>
  <c r="BQ60" i="1"/>
  <c r="BQ89" i="1" s="1"/>
  <c r="BQ58" i="1"/>
  <c r="BQ59" i="1"/>
  <c r="BQ88" i="1" s="1"/>
  <c r="BQ87" i="1" l="1"/>
  <c r="BQ62" i="1"/>
  <c r="BQ63" i="1" s="1"/>
  <c r="BR59" i="1"/>
  <c r="BR88" i="1" s="1"/>
  <c r="BR58" i="1"/>
  <c r="BR60" i="1"/>
  <c r="BR89" i="1" s="1"/>
  <c r="BR61" i="1"/>
  <c r="BR90" i="1" s="1"/>
  <c r="BS5" i="1"/>
  <c r="BO92" i="1"/>
  <c r="BO95" i="1" s="1"/>
  <c r="BO74" i="1"/>
  <c r="BP71" i="1"/>
  <c r="BP70" i="1"/>
  <c r="BO91" i="1"/>
  <c r="BO94" i="1" s="1"/>
  <c r="BO73" i="1"/>
  <c r="BR87" i="1" l="1"/>
  <c r="BR62" i="1"/>
  <c r="BR63" i="1" s="1"/>
  <c r="BQ71" i="1"/>
  <c r="BQ70" i="1"/>
  <c r="BP91" i="1"/>
  <c r="BP94" i="1" s="1"/>
  <c r="BP73" i="1"/>
  <c r="BS60" i="1"/>
  <c r="BS89" i="1" s="1"/>
  <c r="BS61" i="1"/>
  <c r="BS90" i="1" s="1"/>
  <c r="BS59" i="1"/>
  <c r="BS88" i="1" s="1"/>
  <c r="BT5" i="1"/>
  <c r="BS58" i="1"/>
  <c r="BP92" i="1"/>
  <c r="BP95" i="1" s="1"/>
  <c r="BP74" i="1"/>
  <c r="BS87" i="1" l="1"/>
  <c r="BS62" i="1"/>
  <c r="BS63" i="1" s="1"/>
  <c r="BQ92" i="1"/>
  <c r="BQ95" i="1" s="1"/>
  <c r="BQ74" i="1"/>
  <c r="BT59" i="1"/>
  <c r="BT88" i="1" s="1"/>
  <c r="BU5" i="1"/>
  <c r="BT58" i="1"/>
  <c r="BT61" i="1"/>
  <c r="BT90" i="1" s="1"/>
  <c r="BT60" i="1"/>
  <c r="BT89" i="1" s="1"/>
  <c r="BR70" i="1"/>
  <c r="BR71" i="1"/>
  <c r="BQ91" i="1"/>
  <c r="BQ94" i="1" s="1"/>
  <c r="BQ73" i="1"/>
  <c r="BR92" i="1" l="1"/>
  <c r="BR95" i="1" s="1"/>
  <c r="BR74" i="1"/>
  <c r="BT87" i="1"/>
  <c r="BT62" i="1"/>
  <c r="BT63" i="1" s="1"/>
  <c r="BR91" i="1"/>
  <c r="BR94" i="1" s="1"/>
  <c r="BR73" i="1"/>
  <c r="BU59" i="1"/>
  <c r="BU88" i="1" s="1"/>
  <c r="BU60" i="1"/>
  <c r="BU89" i="1" s="1"/>
  <c r="BU61" i="1"/>
  <c r="BU90" i="1" s="1"/>
  <c r="BU58" i="1"/>
  <c r="BV5" i="1"/>
  <c r="BS70" i="1"/>
  <c r="BS71" i="1"/>
  <c r="BS91" i="1" l="1"/>
  <c r="BS94" i="1" s="1"/>
  <c r="BS73" i="1"/>
  <c r="BT70" i="1"/>
  <c r="BT71" i="1"/>
  <c r="BV61" i="1"/>
  <c r="BV90" i="1" s="1"/>
  <c r="BV59" i="1"/>
  <c r="BV88" i="1" s="1"/>
  <c r="BV58" i="1"/>
  <c r="BW5" i="1"/>
  <c r="BV60" i="1"/>
  <c r="BV89" i="1" s="1"/>
  <c r="BU87" i="1"/>
  <c r="BU62" i="1"/>
  <c r="BU63" i="1" s="1"/>
  <c r="BS92" i="1"/>
  <c r="BS95" i="1" s="1"/>
  <c r="BS74" i="1"/>
  <c r="BV87" i="1" l="1"/>
  <c r="BV62" i="1"/>
  <c r="BV63" i="1" s="1"/>
  <c r="BW60" i="1"/>
  <c r="BW89" i="1" s="1"/>
  <c r="BW61" i="1"/>
  <c r="BW90" i="1" s="1"/>
  <c r="BW58" i="1"/>
  <c r="BW59" i="1"/>
  <c r="BW88" i="1" s="1"/>
  <c r="BX5" i="1"/>
  <c r="BU71" i="1"/>
  <c r="BU70" i="1"/>
  <c r="BT91" i="1"/>
  <c r="BT94" i="1" s="1"/>
  <c r="BT73" i="1"/>
  <c r="BT92" i="1"/>
  <c r="BT95" i="1" s="1"/>
  <c r="BT74" i="1"/>
  <c r="BV71" i="1" l="1"/>
  <c r="BV70" i="1"/>
  <c r="BU92" i="1"/>
  <c r="BU95" i="1" s="1"/>
  <c r="BU74" i="1"/>
  <c r="BX58" i="1"/>
  <c r="BX59" i="1"/>
  <c r="BX88" i="1" s="1"/>
  <c r="BX61" i="1"/>
  <c r="BX90" i="1" s="1"/>
  <c r="BY5" i="1"/>
  <c r="BX60" i="1"/>
  <c r="BX89" i="1" s="1"/>
  <c r="BU91" i="1"/>
  <c r="BU94" i="1" s="1"/>
  <c r="BU73" i="1"/>
  <c r="BW87" i="1"/>
  <c r="BW62" i="1"/>
  <c r="BW63" i="1" s="1"/>
  <c r="BV91" i="1" l="1"/>
  <c r="BV94" i="1" s="1"/>
  <c r="BV73" i="1"/>
  <c r="BZ5" i="1"/>
  <c r="BY59" i="1"/>
  <c r="BY88" i="1" s="1"/>
  <c r="BY60" i="1"/>
  <c r="BY89" i="1" s="1"/>
  <c r="BY61" i="1"/>
  <c r="BY90" i="1" s="1"/>
  <c r="BY58" i="1"/>
  <c r="BW70" i="1"/>
  <c r="BW71" i="1"/>
  <c r="BX87" i="1"/>
  <c r="BX62" i="1"/>
  <c r="BX63" i="1" s="1"/>
  <c r="BV92" i="1"/>
  <c r="BV95" i="1" s="1"/>
  <c r="BV74" i="1"/>
  <c r="BW91" i="1" l="1"/>
  <c r="BW94" i="1" s="1"/>
  <c r="BW73" i="1"/>
  <c r="BY87" i="1"/>
  <c r="BY62" i="1"/>
  <c r="BY63" i="1" s="1"/>
  <c r="BZ60" i="1"/>
  <c r="BZ89" i="1" s="1"/>
  <c r="BZ59" i="1"/>
  <c r="BZ88" i="1" s="1"/>
  <c r="BZ58" i="1"/>
  <c r="BZ61" i="1"/>
  <c r="BZ90" i="1" s="1"/>
  <c r="CA5" i="1"/>
  <c r="BX71" i="1"/>
  <c r="BX70" i="1"/>
  <c r="BW92" i="1"/>
  <c r="BW95" i="1" s="1"/>
  <c r="BW74" i="1"/>
  <c r="BY70" i="1" l="1"/>
  <c r="BY71" i="1"/>
  <c r="BX91" i="1"/>
  <c r="BX94" i="1" s="1"/>
  <c r="BX73" i="1"/>
  <c r="BZ87" i="1"/>
  <c r="BZ62" i="1"/>
  <c r="BZ63" i="1" s="1"/>
  <c r="BX92" i="1"/>
  <c r="BX95" i="1" s="1"/>
  <c r="BX74" i="1"/>
  <c r="CA61" i="1"/>
  <c r="CA90" i="1" s="1"/>
  <c r="CA60" i="1"/>
  <c r="CA89" i="1" s="1"/>
  <c r="CA58" i="1"/>
  <c r="CB5" i="1"/>
  <c r="CA59" i="1"/>
  <c r="CA88" i="1" s="1"/>
  <c r="CB60" i="1" l="1"/>
  <c r="CB89" i="1" s="1"/>
  <c r="CB61" i="1"/>
  <c r="CB90" i="1" s="1"/>
  <c r="CB58" i="1"/>
  <c r="CC5" i="1"/>
  <c r="CB59" i="1"/>
  <c r="CB88" i="1" s="1"/>
  <c r="BZ71" i="1"/>
  <c r="BZ70" i="1"/>
  <c r="BY92" i="1"/>
  <c r="BY95" i="1" s="1"/>
  <c r="BY74" i="1"/>
  <c r="CA87" i="1"/>
  <c r="CA62" i="1"/>
  <c r="CA63" i="1" s="1"/>
  <c r="BY91" i="1"/>
  <c r="BY94" i="1" s="1"/>
  <c r="BY73" i="1"/>
  <c r="CA71" i="1" l="1"/>
  <c r="CA70" i="1"/>
  <c r="CB87" i="1"/>
  <c r="CB62" i="1"/>
  <c r="CB63" i="1" s="1"/>
  <c r="BZ92" i="1"/>
  <c r="BZ95" i="1" s="1"/>
  <c r="BZ74" i="1"/>
  <c r="CD5" i="1"/>
  <c r="CC58" i="1"/>
  <c r="CC60" i="1"/>
  <c r="CC89" i="1" s="1"/>
  <c r="CC59" i="1"/>
  <c r="CC88" i="1" s="1"/>
  <c r="CC61" i="1"/>
  <c r="CC90" i="1" s="1"/>
  <c r="BZ91" i="1"/>
  <c r="BZ94" i="1" s="1"/>
  <c r="BZ73" i="1"/>
  <c r="CC87" i="1" l="1"/>
  <c r="CC62" i="1"/>
  <c r="CC63" i="1" s="1"/>
  <c r="CB71" i="1"/>
  <c r="CB70" i="1"/>
  <c r="CD60" i="1"/>
  <c r="CD89" i="1" s="1"/>
  <c r="CD58" i="1"/>
  <c r="CD59" i="1"/>
  <c r="CD88" i="1" s="1"/>
  <c r="CE5" i="1"/>
  <c r="CD61" i="1"/>
  <c r="CD90" i="1" s="1"/>
  <c r="CA91" i="1"/>
  <c r="CA94" i="1" s="1"/>
  <c r="CA73" i="1"/>
  <c r="CA92" i="1"/>
  <c r="CA95" i="1" s="1"/>
  <c r="CA74" i="1"/>
  <c r="CB92" i="1" l="1"/>
  <c r="CB95" i="1" s="1"/>
  <c r="CB74" i="1"/>
  <c r="CB91" i="1"/>
  <c r="CB94" i="1" s="1"/>
  <c r="CB73" i="1"/>
  <c r="CD87" i="1"/>
  <c r="CD62" i="1"/>
  <c r="CD63" i="1" s="1"/>
  <c r="CC70" i="1"/>
  <c r="CC71" i="1"/>
  <c r="CE61" i="1"/>
  <c r="CE90" i="1" s="1"/>
  <c r="CE60" i="1"/>
  <c r="CE89" i="1" s="1"/>
  <c r="CE59" i="1"/>
  <c r="CE88" i="1" s="1"/>
  <c r="CE58" i="1"/>
  <c r="CF5" i="1"/>
  <c r="CE87" i="1" l="1"/>
  <c r="CE62" i="1"/>
  <c r="CE63" i="1" s="1"/>
  <c r="CD71" i="1"/>
  <c r="CD70" i="1"/>
  <c r="CC92" i="1"/>
  <c r="CC95" i="1" s="1"/>
  <c r="CC74" i="1"/>
  <c r="CC91" i="1"/>
  <c r="CC94" i="1" s="1"/>
  <c r="CC73" i="1"/>
  <c r="CF59" i="1"/>
  <c r="CF88" i="1" s="1"/>
  <c r="CF60" i="1"/>
  <c r="CF89" i="1" s="1"/>
  <c r="CF58" i="1"/>
  <c r="CF61" i="1"/>
  <c r="CF90" i="1" s="1"/>
  <c r="CG5" i="1"/>
  <c r="CD91" i="1" l="1"/>
  <c r="CD94" i="1" s="1"/>
  <c r="CD73" i="1"/>
  <c r="CD92" i="1"/>
  <c r="CD95" i="1" s="1"/>
  <c r="CD74" i="1"/>
  <c r="CE70" i="1"/>
  <c r="CE71" i="1"/>
  <c r="CF87" i="1"/>
  <c r="CF62" i="1"/>
  <c r="CF63" i="1" s="1"/>
  <c r="CG60" i="1"/>
  <c r="CG89" i="1" s="1"/>
  <c r="CG61" i="1"/>
  <c r="CG90" i="1" s="1"/>
  <c r="CH5" i="1"/>
  <c r="CG59" i="1"/>
  <c r="CG88" i="1" s="1"/>
  <c r="CG58" i="1"/>
  <c r="CF70" i="1" l="1"/>
  <c r="CF71" i="1"/>
  <c r="CI5" i="1"/>
  <c r="CH59" i="1"/>
  <c r="CH88" i="1" s="1"/>
  <c r="CH61" i="1"/>
  <c r="CH90" i="1" s="1"/>
  <c r="CH58" i="1"/>
  <c r="CH60" i="1"/>
  <c r="CH89" i="1" s="1"/>
  <c r="CE92" i="1"/>
  <c r="CE95" i="1" s="1"/>
  <c r="CE74" i="1"/>
  <c r="CG87" i="1"/>
  <c r="CG62" i="1"/>
  <c r="CG63" i="1" s="1"/>
  <c r="CE91" i="1"/>
  <c r="CE94" i="1" s="1"/>
  <c r="CE73" i="1"/>
  <c r="CJ5" i="1" l="1"/>
  <c r="CI61" i="1"/>
  <c r="CI90" i="1" s="1"/>
  <c r="CI59" i="1"/>
  <c r="CI88" i="1" s="1"/>
  <c r="CI58" i="1"/>
  <c r="CI60" i="1"/>
  <c r="CI89" i="1" s="1"/>
  <c r="CG70" i="1"/>
  <c r="CG71" i="1"/>
  <c r="CH87" i="1"/>
  <c r="CH62" i="1"/>
  <c r="CH63" i="1" s="1"/>
  <c r="CF92" i="1"/>
  <c r="CF95" i="1" s="1"/>
  <c r="CF74" i="1"/>
  <c r="CF91" i="1"/>
  <c r="CF94" i="1" s="1"/>
  <c r="CF73" i="1"/>
  <c r="CG92" i="1" l="1"/>
  <c r="CG95" i="1" s="1"/>
  <c r="CG74" i="1"/>
  <c r="CG91" i="1"/>
  <c r="CG94" i="1" s="1"/>
  <c r="CG73" i="1"/>
  <c r="CI87" i="1"/>
  <c r="CI62" i="1"/>
  <c r="CI63" i="1" s="1"/>
  <c r="CH70" i="1"/>
  <c r="CH71" i="1"/>
  <c r="CK5" i="1"/>
  <c r="CJ59" i="1"/>
  <c r="CJ88" i="1" s="1"/>
  <c r="CJ61" i="1"/>
  <c r="CJ90" i="1" s="1"/>
  <c r="CJ60" i="1"/>
  <c r="CJ89" i="1" s="1"/>
  <c r="CJ58" i="1"/>
  <c r="CH92" i="1" l="1"/>
  <c r="CH95" i="1" s="1"/>
  <c r="CH74" i="1"/>
  <c r="CI71" i="1"/>
  <c r="CI70" i="1"/>
  <c r="CH91" i="1"/>
  <c r="CH94" i="1" s="1"/>
  <c r="CH73" i="1"/>
  <c r="CJ87" i="1"/>
  <c r="CJ62" i="1"/>
  <c r="CJ63" i="1" s="1"/>
  <c r="CK61" i="1"/>
  <c r="CK90" i="1" s="1"/>
  <c r="CK59" i="1"/>
  <c r="CK88" i="1" s="1"/>
  <c r="CL5" i="1"/>
  <c r="CK60" i="1"/>
  <c r="CK89" i="1" s="1"/>
  <c r="CK58" i="1"/>
  <c r="CJ70" i="1" l="1"/>
  <c r="CJ71" i="1"/>
  <c r="CL61" i="1"/>
  <c r="CL90" i="1" s="1"/>
  <c r="CL58" i="1"/>
  <c r="CM5" i="1"/>
  <c r="CL59" i="1"/>
  <c r="CL88" i="1" s="1"/>
  <c r="CL60" i="1"/>
  <c r="CL89" i="1" s="1"/>
  <c r="CI92" i="1"/>
  <c r="CI95" i="1" s="1"/>
  <c r="CI74" i="1"/>
  <c r="CI73" i="1"/>
  <c r="CI91" i="1"/>
  <c r="CI94" i="1" s="1"/>
  <c r="CK87" i="1"/>
  <c r="CK62" i="1"/>
  <c r="CK63" i="1" s="1"/>
  <c r="CJ74" i="1" l="1"/>
  <c r="CJ92" i="1"/>
  <c r="CJ95" i="1" s="1"/>
  <c r="CL87" i="1"/>
  <c r="CL62" i="1"/>
  <c r="CL63" i="1" s="1"/>
  <c r="CK70" i="1"/>
  <c r="CK71" i="1"/>
  <c r="CN5" i="1"/>
  <c r="CM61" i="1"/>
  <c r="CM90" i="1" s="1"/>
  <c r="CM59" i="1"/>
  <c r="CM88" i="1" s="1"/>
  <c r="CM58" i="1"/>
  <c r="CM60" i="1"/>
  <c r="CM89" i="1" s="1"/>
  <c r="CJ91" i="1"/>
  <c r="CJ94" i="1" s="1"/>
  <c r="CJ73" i="1"/>
  <c r="CL71" i="1" l="1"/>
  <c r="CL70" i="1"/>
  <c r="CN61" i="1"/>
  <c r="CN90" i="1" s="1"/>
  <c r="CO5" i="1"/>
  <c r="CN59" i="1"/>
  <c r="CN88" i="1" s="1"/>
  <c r="CN58" i="1"/>
  <c r="CN60" i="1"/>
  <c r="CN89" i="1" s="1"/>
  <c r="CM87" i="1"/>
  <c r="CM62" i="1"/>
  <c r="CM63" i="1" s="1"/>
  <c r="CK92" i="1"/>
  <c r="CK95" i="1" s="1"/>
  <c r="CK74" i="1"/>
  <c r="CK91" i="1"/>
  <c r="CK94" i="1" s="1"/>
  <c r="CK73" i="1"/>
  <c r="CM71" i="1" l="1"/>
  <c r="CM70" i="1"/>
  <c r="CL92" i="1"/>
  <c r="CL95" i="1" s="1"/>
  <c r="CL74" i="1"/>
  <c r="CO59" i="1"/>
  <c r="CO88" i="1" s="1"/>
  <c r="CO60" i="1"/>
  <c r="CO89" i="1" s="1"/>
  <c r="CP5" i="1"/>
  <c r="CO58" i="1"/>
  <c r="CO61" i="1"/>
  <c r="CO90" i="1" s="1"/>
  <c r="CN87" i="1"/>
  <c r="CN62" i="1"/>
  <c r="CN63" i="1" s="1"/>
  <c r="CL91" i="1"/>
  <c r="CL94" i="1" s="1"/>
  <c r="CL73" i="1"/>
  <c r="CN71" i="1" l="1"/>
  <c r="CN70" i="1"/>
  <c r="CP61" i="1"/>
  <c r="CP90" i="1" s="1"/>
  <c r="CP60" i="1"/>
  <c r="CP89" i="1" s="1"/>
  <c r="CP58" i="1"/>
  <c r="CQ5" i="1"/>
  <c r="CP59" i="1"/>
  <c r="CP88" i="1" s="1"/>
  <c r="CM91" i="1"/>
  <c r="CM94" i="1" s="1"/>
  <c r="CM73" i="1"/>
  <c r="CO87" i="1"/>
  <c r="CO62" i="1"/>
  <c r="CO63" i="1" s="1"/>
  <c r="CM92" i="1"/>
  <c r="CM95" i="1" s="1"/>
  <c r="CM74" i="1"/>
  <c r="CO71" i="1" l="1"/>
  <c r="CO70" i="1"/>
  <c r="CQ59" i="1"/>
  <c r="CQ88" i="1" s="1"/>
  <c r="CQ61" i="1"/>
  <c r="CQ90" i="1" s="1"/>
  <c r="CQ60" i="1"/>
  <c r="CQ89" i="1" s="1"/>
  <c r="CQ58" i="1"/>
  <c r="CR5" i="1"/>
  <c r="CN91" i="1"/>
  <c r="CN94" i="1" s="1"/>
  <c r="CN73" i="1"/>
  <c r="CP87" i="1"/>
  <c r="CP62" i="1"/>
  <c r="CP63" i="1" s="1"/>
  <c r="CN92" i="1"/>
  <c r="CN95" i="1" s="1"/>
  <c r="CN74" i="1"/>
  <c r="CR58" i="1" l="1"/>
  <c r="CR61" i="1"/>
  <c r="CR90" i="1" s="1"/>
  <c r="CR60" i="1"/>
  <c r="CR89" i="1" s="1"/>
  <c r="CR59" i="1"/>
  <c r="CR88" i="1" s="1"/>
  <c r="CS5" i="1"/>
  <c r="CP71" i="1"/>
  <c r="CP70" i="1"/>
  <c r="CQ87" i="1"/>
  <c r="CQ62" i="1"/>
  <c r="CQ63" i="1" s="1"/>
  <c r="CO91" i="1"/>
  <c r="CO94" i="1" s="1"/>
  <c r="CO73" i="1"/>
  <c r="CO92" i="1"/>
  <c r="CO95" i="1" s="1"/>
  <c r="CO74" i="1"/>
  <c r="CQ70" i="1" l="1"/>
  <c r="CQ71" i="1"/>
  <c r="CS60" i="1"/>
  <c r="CS89" i="1" s="1"/>
  <c r="CS61" i="1"/>
  <c r="CS90" i="1" s="1"/>
  <c r="CS58" i="1"/>
  <c r="CS59" i="1"/>
  <c r="CS88" i="1" s="1"/>
  <c r="CT5" i="1"/>
  <c r="CP91" i="1"/>
  <c r="CP94" i="1" s="1"/>
  <c r="CP73" i="1"/>
  <c r="CP92" i="1"/>
  <c r="CP95" i="1" s="1"/>
  <c r="CP74" i="1"/>
  <c r="CR87" i="1"/>
  <c r="CR62" i="1"/>
  <c r="CR63" i="1" s="1"/>
  <c r="CT58" i="1" l="1"/>
  <c r="CT59" i="1"/>
  <c r="CT88" i="1" s="1"/>
  <c r="CU5" i="1"/>
  <c r="CT60" i="1"/>
  <c r="CT89" i="1" s="1"/>
  <c r="CT61" i="1"/>
  <c r="CT90" i="1" s="1"/>
  <c r="CQ92" i="1"/>
  <c r="CQ95" i="1" s="1"/>
  <c r="CQ74" i="1"/>
  <c r="CR71" i="1"/>
  <c r="CR70" i="1"/>
  <c r="CS87" i="1"/>
  <c r="CS62" i="1"/>
  <c r="CS63" i="1" s="1"/>
  <c r="CQ91" i="1"/>
  <c r="CQ94" i="1" s="1"/>
  <c r="CQ73" i="1"/>
  <c r="CS70" i="1" l="1"/>
  <c r="CS71" i="1"/>
  <c r="CR92" i="1"/>
  <c r="CR95" i="1" s="1"/>
  <c r="CR74" i="1"/>
  <c r="CU61" i="1"/>
  <c r="CU90" i="1" s="1"/>
  <c r="CU59" i="1"/>
  <c r="CU88" i="1" s="1"/>
  <c r="CV5" i="1"/>
  <c r="CU60" i="1"/>
  <c r="CU89" i="1" s="1"/>
  <c r="CU58" i="1"/>
  <c r="CR91" i="1"/>
  <c r="CR94" i="1" s="1"/>
  <c r="CR73" i="1"/>
  <c r="CT87" i="1"/>
  <c r="CT62" i="1"/>
  <c r="CT63" i="1" s="1"/>
  <c r="CS92" i="1" l="1"/>
  <c r="CS95" i="1" s="1"/>
  <c r="CS74" i="1"/>
  <c r="CW5" i="1"/>
  <c r="CV58" i="1"/>
  <c r="CV61" i="1"/>
  <c r="CV90" i="1" s="1"/>
  <c r="CV59" i="1"/>
  <c r="CV88" i="1" s="1"/>
  <c r="CV60" i="1"/>
  <c r="CV89" i="1" s="1"/>
  <c r="CT70" i="1"/>
  <c r="CT71" i="1"/>
  <c r="CU87" i="1"/>
  <c r="CU62" i="1"/>
  <c r="CU63" i="1" s="1"/>
  <c r="CS91" i="1"/>
  <c r="CS94" i="1" s="1"/>
  <c r="CS73" i="1"/>
  <c r="CV87" i="1" l="1"/>
  <c r="CV62" i="1"/>
  <c r="CV63" i="1" s="1"/>
  <c r="CW61" i="1"/>
  <c r="CW90" i="1" s="1"/>
  <c r="CW60" i="1"/>
  <c r="CW89" i="1" s="1"/>
  <c r="CW58" i="1"/>
  <c r="CX5" i="1"/>
  <c r="CW59" i="1"/>
  <c r="CW88" i="1" s="1"/>
  <c r="CT91" i="1"/>
  <c r="CT94" i="1" s="1"/>
  <c r="CT73" i="1"/>
  <c r="CU70" i="1"/>
  <c r="CU71" i="1"/>
  <c r="CT74" i="1"/>
  <c r="CT92" i="1"/>
  <c r="CT95" i="1" s="1"/>
  <c r="CU91" i="1" l="1"/>
  <c r="CU94" i="1" s="1"/>
  <c r="CU73" i="1"/>
  <c r="CX61" i="1"/>
  <c r="CX90" i="1" s="1"/>
  <c r="CX60" i="1"/>
  <c r="CX89" i="1" s="1"/>
  <c r="CX58" i="1"/>
  <c r="CX59" i="1"/>
  <c r="CX88" i="1" s="1"/>
  <c r="CY5" i="1"/>
  <c r="CV70" i="1"/>
  <c r="CV71" i="1"/>
  <c r="CU92" i="1"/>
  <c r="CU95" i="1" s="1"/>
  <c r="CU74" i="1"/>
  <c r="CW87" i="1"/>
  <c r="CW62" i="1"/>
  <c r="CW63" i="1" s="1"/>
  <c r="CV91" i="1" l="1"/>
  <c r="CV94" i="1" s="1"/>
  <c r="CV73" i="1"/>
  <c r="CY58" i="1"/>
  <c r="CY60" i="1"/>
  <c r="CY59" i="1"/>
  <c r="CY61" i="1"/>
  <c r="CW70" i="1"/>
  <c r="CW71" i="1"/>
  <c r="CV92" i="1"/>
  <c r="CV95" i="1" s="1"/>
  <c r="CV74" i="1"/>
  <c r="CX87" i="1"/>
  <c r="CX62" i="1"/>
  <c r="CX63" i="1" s="1"/>
  <c r="CY89" i="1" l="1"/>
  <c r="C89" i="1" s="1"/>
  <c r="C60" i="1"/>
  <c r="CX70" i="1"/>
  <c r="CX71" i="1"/>
  <c r="CW74" i="1"/>
  <c r="CW92" i="1"/>
  <c r="CW95" i="1" s="1"/>
  <c r="CW91" i="1"/>
  <c r="CW94" i="1" s="1"/>
  <c r="CW73" i="1"/>
  <c r="CY87" i="1"/>
  <c r="C87" i="1" s="1"/>
  <c r="CY62" i="1"/>
  <c r="CY63" i="1" s="1"/>
  <c r="C58" i="1"/>
  <c r="CY90" i="1"/>
  <c r="C90" i="1" s="1"/>
  <c r="C61" i="1"/>
  <c r="CY88" i="1"/>
  <c r="C88" i="1" s="1"/>
  <c r="C59" i="1"/>
  <c r="CX92" i="1" l="1"/>
  <c r="CX95" i="1" s="1"/>
  <c r="CX74" i="1"/>
  <c r="C62" i="1"/>
  <c r="C63" i="1" s="1"/>
  <c r="CX91" i="1"/>
  <c r="CX94" i="1" s="1"/>
  <c r="CX73" i="1"/>
  <c r="CY70" i="1"/>
  <c r="CY71" i="1"/>
  <c r="CY92" i="1" l="1"/>
  <c r="CY74" i="1"/>
  <c r="C74" i="1" s="1"/>
  <c r="C71" i="1"/>
  <c r="CY91" i="1"/>
  <c r="CY73" i="1"/>
  <c r="C73" i="1" s="1"/>
  <c r="C70" i="1"/>
  <c r="CY94" i="1" l="1"/>
  <c r="C94" i="1" s="1"/>
  <c r="E5" i="13" s="1"/>
  <c r="F5" i="13" s="1"/>
  <c r="C91" i="1"/>
  <c r="CY95" i="1"/>
  <c r="C95" i="1" s="1"/>
  <c r="E6" i="13" s="1"/>
  <c r="C92" i="1"/>
  <c r="E8" i="13" l="1"/>
  <c r="F6" i="13"/>
  <c r="F14" i="13"/>
  <c r="D14" i="13"/>
  <c r="B14" i="13"/>
  <c r="C14" i="13"/>
  <c r="E14" i="13"/>
  <c r="G14" i="13"/>
  <c r="H14" i="13" l="1"/>
</calcChain>
</file>

<file path=xl/sharedStrings.xml><?xml version="1.0" encoding="utf-8"?>
<sst xmlns="http://schemas.openxmlformats.org/spreadsheetml/2006/main" count="925" uniqueCount="615">
  <si>
    <t>Project Name:</t>
  </si>
  <si>
    <t>Project ID:</t>
  </si>
  <si>
    <t>Costs</t>
  </si>
  <si>
    <t>Year</t>
  </si>
  <si>
    <t>Subtotal</t>
  </si>
  <si>
    <t>Total Costs</t>
  </si>
  <si>
    <t>Income</t>
  </si>
  <si>
    <t>Carbon</t>
  </si>
  <si>
    <t>Total Income</t>
  </si>
  <si>
    <t>Calendar Year</t>
  </si>
  <si>
    <t>Timber/Woodfuel</t>
  </si>
  <si>
    <t>Weeding</t>
  </si>
  <si>
    <t>Total</t>
  </si>
  <si>
    <t>0-99</t>
  </si>
  <si>
    <t>Insurance</t>
  </si>
  <si>
    <t>Validation and Verification</t>
  </si>
  <si>
    <t>Survey Work</t>
  </si>
  <si>
    <t>Planning Grant</t>
  </si>
  <si>
    <t>Capital Grant</t>
  </si>
  <si>
    <t>Other</t>
  </si>
  <si>
    <t>Ongoing Management Fees</t>
  </si>
  <si>
    <t>Verification:  years since start date</t>
  </si>
  <si>
    <t>Vintage Start Date</t>
  </si>
  <si>
    <t>Vintage End Date</t>
  </si>
  <si>
    <t>Subtotal - claimable under WCaG to f/y 2055/56</t>
  </si>
  <si>
    <t>Subtotal - remainder not claimable under WCaG</t>
  </si>
  <si>
    <t>Total - units claimable over 100 years</t>
  </si>
  <si>
    <t>PIU Issuance</t>
  </si>
  <si>
    <t>PIU-WCU Conversion</t>
  </si>
  <si>
    <t>Validation/ Verification</t>
  </si>
  <si>
    <t>Validation Cost</t>
  </si>
  <si>
    <t xml:space="preserve">Year </t>
  </si>
  <si>
    <t>Reference Table</t>
  </si>
  <si>
    <t>N/A</t>
  </si>
  <si>
    <t>GROSS INCOME</t>
  </si>
  <si>
    <t>NET INCOME</t>
  </si>
  <si>
    <t>Net Income (by Vintage)</t>
  </si>
  <si>
    <t>Net Income (Cumulative)</t>
  </si>
  <si>
    <t>Total Costs (by Vintage)</t>
  </si>
  <si>
    <t>Total Costs (Cumulative)</t>
  </si>
  <si>
    <t>Description of cost</t>
  </si>
  <si>
    <t>Description of income</t>
  </si>
  <si>
    <t>Thinning income</t>
  </si>
  <si>
    <t>Clearfell income</t>
  </si>
  <si>
    <t>Total PIUs in vintage to be listed (tCO2e)</t>
  </si>
  <si>
    <t>PIUs to Buffer (tCO2e)</t>
  </si>
  <si>
    <t>PIUs to Project (tCO2e)</t>
  </si>
  <si>
    <t>Disclaimer of Warranty</t>
  </si>
  <si>
    <t>Version Date</t>
  </si>
  <si>
    <t>Version</t>
  </si>
  <si>
    <t>Changes</t>
  </si>
  <si>
    <t>Who</t>
  </si>
  <si>
    <t>Vicky West</t>
  </si>
  <si>
    <t>March 2021</t>
  </si>
  <si>
    <t>February 2018</t>
  </si>
  <si>
    <t>Additionality Spreadsheet Version 1.0</t>
  </si>
  <si>
    <t>Blue Cells indicate user input required</t>
  </si>
  <si>
    <t>COSTS OF INVOLVEMENT IN THE WOODLAND CARBON CODE</t>
  </si>
  <si>
    <t>Total Costs incl. Carbon</t>
  </si>
  <si>
    <t>Total Costs excl. Carbon</t>
  </si>
  <si>
    <t>Total Income incl. Carbon</t>
  </si>
  <si>
    <t>Total Income excl. Carbon</t>
  </si>
  <si>
    <t>Net Cash Flow incl. Carbon</t>
  </si>
  <si>
    <t>Net Cash Flow excl. Carbon</t>
  </si>
  <si>
    <t>Discounted Costs excl. Carbon</t>
  </si>
  <si>
    <t>Discounted Costs incl. Carbon</t>
  </si>
  <si>
    <t>Discounted Income incl. Carbon</t>
  </si>
  <si>
    <t>Discounted Income excl. Carbon</t>
  </si>
  <si>
    <t>Net Discounted Flow incl. Carbon</t>
  </si>
  <si>
    <t>Net Discounted Flow excl. Carbon</t>
  </si>
  <si>
    <t>Unit Issuance and Conversion</t>
  </si>
  <si>
    <t>Maintenance Payments</t>
  </si>
  <si>
    <t>Use of the WCC Cashflow Sheet and validation of your project does not imply endorsement by Scottish Forestry of the value of any investment.</t>
  </si>
  <si>
    <t>Woodland Creation - Constant (cash) Figures</t>
  </si>
  <si>
    <t>Woodland Creation - Discounted Figures</t>
  </si>
  <si>
    <t>Grant</t>
  </si>
  <si>
    <t>Timber</t>
  </si>
  <si>
    <t>Donations</t>
  </si>
  <si>
    <t>Other Income</t>
  </si>
  <si>
    <t>Discounted Carbon Income</t>
  </si>
  <si>
    <t>Discounted Grant Income</t>
  </si>
  <si>
    <t>Discounted Thinning Income</t>
  </si>
  <si>
    <t>Discounted Clearfell Income</t>
  </si>
  <si>
    <t>Basic Payment Scheme Payments</t>
  </si>
  <si>
    <t>Share of income by source (discounted)</t>
  </si>
  <si>
    <t>Investment Test</t>
  </si>
  <si>
    <t>NPV Woodland Including Carbon:</t>
  </si>
  <si>
    <t>NPV Woodland Excluding Carbon:</t>
  </si>
  <si>
    <t>Cereals</t>
  </si>
  <si>
    <t>Dairy</t>
  </si>
  <si>
    <t>General Cropping</t>
  </si>
  <si>
    <t>Specialist Cattle (LFA)</t>
  </si>
  <si>
    <t>Cattle and Sheep (LFA)</t>
  </si>
  <si>
    <t>Specialist Sheep (LFA)</t>
  </si>
  <si>
    <t>Lowland Cattle and Sheep</t>
  </si>
  <si>
    <t>Type of Farm</t>
  </si>
  <si>
    <t>Scotland</t>
  </si>
  <si>
    <t>England</t>
  </si>
  <si>
    <t>Cereal</t>
  </si>
  <si>
    <t>Grazing livestock (lowland)</t>
  </si>
  <si>
    <t>Grazing livestock (LFA)</t>
  </si>
  <si>
    <t>Specialist pig farms</t>
  </si>
  <si>
    <t>Specialist poultry farms</t>
  </si>
  <si>
    <t>Horticulture farms</t>
  </si>
  <si>
    <t>Country</t>
  </si>
  <si>
    <t>Species</t>
  </si>
  <si>
    <t>TOTAL</t>
  </si>
  <si>
    <t>Farm/Landuse Type</t>
  </si>
  <si>
    <t>Project Details</t>
  </si>
  <si>
    <t>Project Name</t>
  </si>
  <si>
    <t>Project ID</t>
  </si>
  <si>
    <t>WCC Costs</t>
  </si>
  <si>
    <t>Registration</t>
  </si>
  <si>
    <t>Wales</t>
  </si>
  <si>
    <t>Northern Ireland</t>
  </si>
  <si>
    <t>Grass</t>
  </si>
  <si>
    <t>Potatoes</t>
  </si>
  <si>
    <t>Rough grazing</t>
  </si>
  <si>
    <t>Verification: Years since start date</t>
  </si>
  <si>
    <t>Planting Costs</t>
  </si>
  <si>
    <t>Cost (£)</t>
  </si>
  <si>
    <t>Planting - Conifer</t>
  </si>
  <si>
    <t>Planting - Broadleaf</t>
  </si>
  <si>
    <t>Rabbit netting</t>
  </si>
  <si>
    <t>Deer Fencing</t>
  </si>
  <si>
    <t>Stock Fencing</t>
  </si>
  <si>
    <t>Unit</t>
  </si>
  <si>
    <t>Each</t>
  </si>
  <si>
    <t>Hectare</t>
  </si>
  <si>
    <t>Bracken Control</t>
  </si>
  <si>
    <t>Gorse Removal</t>
  </si>
  <si>
    <t>Track Creation</t>
  </si>
  <si>
    <t>Road Building</t>
  </si>
  <si>
    <t>Ground Prep - Scarification</t>
  </si>
  <si>
    <t>Ground Prep - Mounding</t>
  </si>
  <si>
    <t>Ground Prep - Ploughing</t>
  </si>
  <si>
    <t>Deer Control</t>
  </si>
  <si>
    <t>1-100</t>
  </si>
  <si>
    <t>Management to 10ha</t>
  </si>
  <si>
    <t>Management 10ha+</t>
  </si>
  <si>
    <t>Fertiliser</t>
  </si>
  <si>
    <t>Fence Maintenance</t>
  </si>
  <si>
    <t>Tube &amp; Stake Removal</t>
  </si>
  <si>
    <t>Drains Maintenance</t>
  </si>
  <si>
    <t>Purchase &amp; Installation of Tree Shelter &amp; Stake</t>
  </si>
  <si>
    <t>Project Duration (Years)</t>
  </si>
  <si>
    <t>Road Maintenance</t>
  </si>
  <si>
    <t>£/ha</t>
  </si>
  <si>
    <t>Track Maintenance</t>
  </si>
  <si>
    <t>Rabbit Netting</t>
  </si>
  <si>
    <t>Beating Up Broadleaves</t>
  </si>
  <si>
    <t>Beating Up Conifers</t>
  </si>
  <si>
    <t>Sapling Purchase - Broadleaf</t>
  </si>
  <si>
    <t>Sapling Purchase - Conifer</t>
  </si>
  <si>
    <t>Metre</t>
  </si>
  <si>
    <t>Length (Metres)</t>
  </si>
  <si>
    <t>Annual Costs</t>
  </si>
  <si>
    <t>Value (£)</t>
  </si>
  <si>
    <t>Year(s)</t>
  </si>
  <si>
    <t>Annual/Other Costs</t>
  </si>
  <si>
    <t>SS</t>
  </si>
  <si>
    <t>Average price in real terms (2021 prices, £ per m3 over bark)</t>
  </si>
  <si>
    <t>Sitka spruce - Thinned</t>
  </si>
  <si>
    <t>Norway spruce - Thinned</t>
  </si>
  <si>
    <t>Broadleaves - SAB (1.5m spacing)</t>
  </si>
  <si>
    <t>Other Conifer</t>
  </si>
  <si>
    <t>Data Entry</t>
  </si>
  <si>
    <t>Cashflow</t>
  </si>
  <si>
    <t>Annual Review</t>
  </si>
  <si>
    <t>Which Version Should I Use?</t>
  </si>
  <si>
    <t>WCC Cashflow Tab: Added the Current Landuse Scenario Tab and Carbon Income &amp; Costs Tab to feed into the Woodland Scenario. Other changes for clarity.</t>
  </si>
  <si>
    <t>Further Information:</t>
  </si>
  <si>
    <t>Name of Income 1</t>
  </si>
  <si>
    <t>Name of Income 2</t>
  </si>
  <si>
    <t>Name of Income 3</t>
  </si>
  <si>
    <t>Total Income at each Clearfell</t>
  </si>
  <si>
    <t>Other Grant</t>
  </si>
  <si>
    <t>Income alternative landuse</t>
  </si>
  <si>
    <t>Name of person completing Cashflow</t>
  </si>
  <si>
    <t>Project Start Year</t>
  </si>
  <si>
    <t>Net Area (ha)</t>
  </si>
  <si>
    <t>No of trees</t>
  </si>
  <si>
    <t>Sapling Purchase</t>
  </si>
  <si>
    <t>Planting Cost</t>
  </si>
  <si>
    <t>Beating Up Year 3 (5%)</t>
  </si>
  <si>
    <t>Beating Up Year 2 (10%)</t>
  </si>
  <si>
    <t>Tree shelters?</t>
  </si>
  <si>
    <t>Tree Shelter &amp; Stake Year 0</t>
  </si>
  <si>
    <t>Forage/other</t>
  </si>
  <si>
    <t>Horticulture</t>
  </si>
  <si>
    <t>Pigs and poultry</t>
  </si>
  <si>
    <t>Cattle &amp; sheep (LFA)</t>
  </si>
  <si>
    <t>Beating Up Year 1 (15%)</t>
  </si>
  <si>
    <t>Total Sapling plus Planting</t>
  </si>
  <si>
    <t>Other landuse type</t>
  </si>
  <si>
    <t>Other farming (Not Cattle, Sheep or Dairy)</t>
  </si>
  <si>
    <t>£/hectare</t>
  </si>
  <si>
    <t>Comments/ Source</t>
  </si>
  <si>
    <t xml:space="preserve">Investment Test Outcome: </t>
  </si>
  <si>
    <t>Residual income @project duration</t>
  </si>
  <si>
    <t>Clearfell Volume (m3)</t>
  </si>
  <si>
    <t>Income/ha - Check</t>
  </si>
  <si>
    <t>Residual timber value</t>
  </si>
  <si>
    <t>1, 38,76</t>
  </si>
  <si>
    <t>1, 60</t>
  </si>
  <si>
    <t>18, 23, 28, 33</t>
  </si>
  <si>
    <t>20, 25, 30, 35, 40, 45, 50, 55</t>
  </si>
  <si>
    <t>Number of years received</t>
  </si>
  <si>
    <t>Maintenance Grant</t>
  </si>
  <si>
    <t>** Grant, donations and other income are specific to project</t>
  </si>
  <si>
    <t>NPV/ha</t>
  </si>
  <si>
    <t>Beating up</t>
  </si>
  <si>
    <t>Total Fence length</t>
  </si>
  <si>
    <t>Total Conifers</t>
  </si>
  <si>
    <t>Total Broadleaves</t>
  </si>
  <si>
    <t>Farm Types by Country</t>
  </si>
  <si>
    <t>Select Farm Type</t>
  </si>
  <si>
    <t>Select Country First</t>
  </si>
  <si>
    <t>Northern_Ireland</t>
  </si>
  <si>
    <t>No Years BPS paid for</t>
  </si>
  <si>
    <t>Lookup column</t>
  </si>
  <si>
    <t>Select_Farm_Type</t>
  </si>
  <si>
    <t>BPS paid for first x years</t>
  </si>
  <si>
    <t>Right of this line will be hidden</t>
  </si>
  <si>
    <t>Area (ha)</t>
  </si>
  <si>
    <t>Hand screefing/turfing</t>
  </si>
  <si>
    <t>Scarification</t>
  </si>
  <si>
    <t>Mounding</t>
  </si>
  <si>
    <t>Ploughing</t>
  </si>
  <si>
    <t>Drains</t>
  </si>
  <si>
    <t>Sources:</t>
  </si>
  <si>
    <t>Conifer timber price</t>
  </si>
  <si>
    <t>Timber Volumes</t>
  </si>
  <si>
    <t>Forest Yield</t>
  </si>
  <si>
    <t>Broadleaved timber price</t>
  </si>
  <si>
    <t>Clearfell/Thinning Age</t>
  </si>
  <si>
    <t>Sitka spruce rotation 2</t>
  </si>
  <si>
    <t>Sitka spruce rotation 3</t>
  </si>
  <si>
    <t>56, 61, 66, 71</t>
  </si>
  <si>
    <t>Sitka spruce rotation 1</t>
  </si>
  <si>
    <t>Other conifers (NS) rotation 1</t>
  </si>
  <si>
    <t>Other conifers (NS) rotation 2</t>
  </si>
  <si>
    <t>Timber Volumes and Income</t>
  </si>
  <si>
    <t>Carbon income</t>
  </si>
  <si>
    <t>Source</t>
  </si>
  <si>
    <t>Category</t>
  </si>
  <si>
    <t>Y5 Verification - Administration Cost</t>
  </si>
  <si>
    <t>Y5 Verification - Survey</t>
  </si>
  <si>
    <t>Y5 Verification - Verification Fee</t>
  </si>
  <si>
    <t>Y15+ Verification - Survey</t>
  </si>
  <si>
    <t>Y15+ Verification - Verification Fee</t>
  </si>
  <si>
    <t>Per Project (Single)</t>
  </si>
  <si>
    <t>Per project (Grouped)</t>
  </si>
  <si>
    <t>Sapling purchase + Planting cost</t>
  </si>
  <si>
    <t>3x year 1, 2x year 2, 1x year 3, repeated at each restock</t>
  </si>
  <si>
    <t>15% of total area year 1,                       10% of total area year 2,                  5% of total area year 3, repeated at each restock</t>
  </si>
  <si>
    <t>10, no broadleaved restock</t>
  </si>
  <si>
    <t>1, no broadleaved restock</t>
  </si>
  <si>
    <t>Ground Prep</t>
  </si>
  <si>
    <t>Sapling Planting</t>
  </si>
  <si>
    <t>Activity</t>
  </si>
  <si>
    <t>Broadleaf</t>
  </si>
  <si>
    <t>Weeding and Beating Up</t>
  </si>
  <si>
    <t>Fencing</t>
  </si>
  <si>
    <t>Roads and Tracks</t>
  </si>
  <si>
    <t>1, plus restock of conifers</t>
  </si>
  <si>
    <t>Ongoing woodland management</t>
  </si>
  <si>
    <t>None</t>
  </si>
  <si>
    <t>Net area (Hectares)</t>
  </si>
  <si>
    <t>Ground Prep (Mounding) at Restock</t>
  </si>
  <si>
    <t>Total cost (Year 1)</t>
  </si>
  <si>
    <t>Cost of maintenance</t>
  </si>
  <si>
    <t>Ground Preparation</t>
  </si>
  <si>
    <t>**£50/ha below 10ha, £10/ha each extra ha above 10ha - what about a massive scheme 1000ha?</t>
  </si>
  <si>
    <t>Discounted Residual Timber Income</t>
  </si>
  <si>
    <t>Discount Rate</t>
  </si>
  <si>
    <t>3.5% Declining</t>
  </si>
  <si>
    <t>Yes/No</t>
  </si>
  <si>
    <t>Fencing and tracks/roads</t>
  </si>
  <si>
    <t>** valdiation checks donation year is between start year and end year.</t>
  </si>
  <si>
    <t>Cost of Establishment</t>
  </si>
  <si>
    <t>Weeding Year 2 (twice)</t>
  </si>
  <si>
    <t>Weeding Year 3 (Once)</t>
  </si>
  <si>
    <t>Weeding Year 1 (3 times)</t>
  </si>
  <si>
    <t>Automated based on the min 10% OG in UKFS, to use for income forgone</t>
  </si>
  <si>
    <t xml:space="preserve">Validation </t>
  </si>
  <si>
    <t>Validation</t>
  </si>
  <si>
    <t>Group 2-4</t>
  </si>
  <si>
    <t>Group 10-15</t>
  </si>
  <si>
    <t>Group 5-9</t>
  </si>
  <si>
    <t>Verification</t>
  </si>
  <si>
    <t>Validation - Group Total</t>
  </si>
  <si>
    <t>Verification - Group Total</t>
  </si>
  <si>
    <t>Per project</t>
  </si>
  <si>
    <t>Central to group</t>
  </si>
  <si>
    <t>Soil Association</t>
  </si>
  <si>
    <t>OF&amp;G</t>
  </si>
  <si>
    <t>Group 2-5</t>
  </si>
  <si>
    <t>Group 6-10</t>
  </si>
  <si>
    <t>Group 11-15</t>
  </si>
  <si>
    <t>Single</t>
  </si>
  <si>
    <t>Group</t>
  </si>
  <si>
    <t>Validation - Administration Cost</t>
  </si>
  <si>
    <t>Staff/contractor welfare on-site</t>
  </si>
  <si>
    <t>Other Grant (Specify)</t>
  </si>
  <si>
    <t>Agricultural Income</t>
  </si>
  <si>
    <t>Agricultural Income Forgone</t>
  </si>
  <si>
    <t>Data source</t>
  </si>
  <si>
    <t>Reference/link</t>
  </si>
  <si>
    <t>** This lookup determines which carbon values to take - non-guarantee, guarantee with</t>
  </si>
  <si>
    <t>10-yearly verification or guarantee with 5-yearly verification</t>
  </si>
  <si>
    <t>Y15+ Verification - Administration Cost</t>
  </si>
  <si>
    <t>Number</t>
  </si>
  <si>
    <t>Gates</t>
  </si>
  <si>
    <t>Gross area assuming Gross area includes 10% open ground (Hectares)</t>
  </si>
  <si>
    <t>Results</t>
  </si>
  <si>
    <t>Version 1: For WCC projects NOT applying to the Woodland Carbon Guarantee in England</t>
  </si>
  <si>
    <t>Donations - Specify either annual amount of donations or a one-off amount in a given year</t>
  </si>
  <si>
    <t>Other Income - Specify type of income and either annual amount of income or a one-off amount in a given year</t>
  </si>
  <si>
    <t>Carbon Sequestration (to calculate Carbon Income and Registry Fees)</t>
  </si>
  <si>
    <t>Tabs in this spreadsheet</t>
  </si>
  <si>
    <t>Cost Data</t>
  </si>
  <si>
    <t>Income Data</t>
  </si>
  <si>
    <t>Income Forgone and BPS Data</t>
  </si>
  <si>
    <t>Ground Preparation DropDown List</t>
  </si>
  <si>
    <t>STPR (Standard)</t>
  </si>
  <si>
    <t>Volume (m3 overbark standing/ha)</t>
  </si>
  <si>
    <t>Yield Class</t>
  </si>
  <si>
    <t>When income received</t>
  </si>
  <si>
    <t>Price £/tCO2e</t>
  </si>
  <si>
    <t>Upfront</t>
  </si>
  <si>
    <t>Over Time</t>
  </si>
  <si>
    <t>Midpoint of informal feedback from project developers of current price</t>
  </si>
  <si>
    <t>Average Price weighted by WCUs across Woodland Carbon Guarantee Auctions 1-4</t>
  </si>
  <si>
    <t>Further Information</t>
  </si>
  <si>
    <t>As and when more accurate price information becomes available we will update the figure used.</t>
  </si>
  <si>
    <t xml:space="preserve">Using a consistent carbon price across all projects allows comparison of the relative impact of </t>
  </si>
  <si>
    <t>FR Forest Yield</t>
  </si>
  <si>
    <t>FR Timber Price Indices</t>
  </si>
  <si>
    <t>Coniferous Standing Sales Price Index, 2021</t>
  </si>
  <si>
    <t>carbon finance.</t>
  </si>
  <si>
    <t>Data Sources</t>
  </si>
  <si>
    <t>BPS</t>
  </si>
  <si>
    <t>Number of Years BPS continues</t>
  </si>
  <si>
    <t>GiB Sycamore Data Sheet</t>
  </si>
  <si>
    <t>Grown in Britain - Sycamore Data Sheet.  Average Tree Size from Forest Yield * Standing Value 2018 prices (£26/m3) inflated to 2021 prices</t>
  </si>
  <si>
    <t>20, 40, 60, 80</t>
  </si>
  <si>
    <t>35, 70</t>
  </si>
  <si>
    <t>Drains - Create and Maintain</t>
  </si>
  <si>
    <t>Discounted Cash Flow Alternative landuse</t>
  </si>
  <si>
    <t>Income Forgone</t>
  </si>
  <si>
    <t>Vole Guards</t>
  </si>
  <si>
    <t>Tree Shelter Purchase &amp; Installation</t>
  </si>
  <si>
    <t>**EWCO Standard Cost</t>
  </si>
  <si>
    <t>Site Preparation</t>
  </si>
  <si>
    <t>Initial clearance</t>
  </si>
  <si>
    <t>Bracken/Scrub/Gorse Removal</t>
  </si>
  <si>
    <t>Administrative Cost</t>
  </si>
  <si>
    <t>80, 85, 90, 95, 100</t>
  </si>
  <si>
    <t>Assume that all projects DO get BPS?</t>
  </si>
  <si>
    <t>Share of income sources</t>
  </si>
  <si>
    <t>** Assumes standardised timber income (£/m3 overbark standing)</t>
  </si>
  <si>
    <t>TOGGLES FOR SF</t>
  </si>
  <si>
    <t>Select</t>
  </si>
  <si>
    <t>Planting Costs - All Costs Exclude VAT</t>
  </si>
  <si>
    <t>Thinning volume based on Intermediate Thinning</t>
  </si>
  <si>
    <t>Spacing</t>
  </si>
  <si>
    <t>No Clearfell for Broadleaves</t>
  </si>
  <si>
    <t>Broadleaves - Thinning Only Volumes/Prices</t>
  </si>
  <si>
    <t>Conifers Thinning Volumes/Prices</t>
  </si>
  <si>
    <t>Conifer Clearfell Volumes/prices</t>
  </si>
  <si>
    <t xml:space="preserve">Vehicle access gate </t>
  </si>
  <si>
    <t>Fence upgrade/repair</t>
  </si>
  <si>
    <t>**EWCO Standard Cost for Ground preparation (scarification for natural colonisation)</t>
  </si>
  <si>
    <t>**EWCO Standard Cost for Ground preparation (scarification for natural colonisation) - difficult site</t>
  </si>
  <si>
    <t>**Averaged from 3 SF grant rates for different tree stocking densities</t>
  </si>
  <si>
    <t>**Sapling purchase + Planting cost</t>
  </si>
  <si>
    <t>Vicky West, Andrew Baker, Heather Conejo</t>
  </si>
  <si>
    <t>Squirrel Control</t>
  </si>
  <si>
    <t>**Averaged from SF grant, EWCO rate and plant catalogues (Cheviot trees)</t>
  </si>
  <si>
    <t>Any year contractor is onsite for planting, beating up, thinning, clearfelling</t>
  </si>
  <si>
    <t>Tree Protection</t>
  </si>
  <si>
    <t>Vole guards?</t>
  </si>
  <si>
    <t>Max length claimable (m): 40m/hectare minus road length</t>
  </si>
  <si>
    <t>Max length claimable (m): 20m/hectare</t>
  </si>
  <si>
    <t>Pedestrian gate</t>
  </si>
  <si>
    <t>**£0.15/position, assuming 2500 stems/ha</t>
  </si>
  <si>
    <t>Source/Notes</t>
  </si>
  <si>
    <t>Per tree</t>
  </si>
  <si>
    <t>£1500 up to 10ha plus £150/ha above - capped £30K</t>
  </si>
  <si>
    <t>**England Woodland Creation Planning Grant Stage 1 and 2 payments</t>
  </si>
  <si>
    <t>Pre-planting survey work</t>
  </si>
  <si>
    <t>Woodland creation management planning</t>
  </si>
  <si>
    <t>Total amount either &lt;=10 or &gt;10ha</t>
  </si>
  <si>
    <t>Applying the cap</t>
  </si>
  <si>
    <t>Woodland Creation Management Planning/ Surveys</t>
  </si>
  <si>
    <t>Woodland Creation Planning</t>
  </si>
  <si>
    <t>Woodland Creation Planning costs</t>
  </si>
  <si>
    <t>Existing fence upgrade/repair</t>
  </si>
  <si>
    <t>Cropping</t>
  </si>
  <si>
    <t>Grazing Livestock (Lowland)</t>
  </si>
  <si>
    <t>Poultry</t>
  </si>
  <si>
    <t>FBS data builder (farmbusinesssurvey.co.uk)</t>
  </si>
  <si>
    <t>Supporting documents - Scottish farm business income: annual estimates 2019-2020 - gov.scot (www.gov.scot)</t>
  </si>
  <si>
    <t>https://www.gov.scot/publications/scottish-farm-business-income-annual-estimates-2019-2020/documents/</t>
  </si>
  <si>
    <t>Income Forgone and BPS Payments in the early years of woodland creation</t>
  </si>
  <si>
    <t>**£0.20/position, assuming 2500 stems/ha</t>
  </si>
  <si>
    <t xml:space="preserve"> Project NPV</t>
  </si>
  <si>
    <t>Admin Validation and Verification</t>
  </si>
  <si>
    <t>Checked at 06/04/22</t>
  </si>
  <si>
    <t>Validation - Group Total - Costs from SA</t>
  </si>
  <si>
    <t>Verification - Group Total - Costs from SA</t>
  </si>
  <si>
    <t>T&amp;S ** Estimated for verification</t>
  </si>
  <si>
    <t>**£1/m assuming 150m drains/ha Scottish Grant Cost/limit</t>
  </si>
  <si>
    <t>&gt;50ha assume 2 strata</t>
  </si>
  <si>
    <t>Small Woods reduced survey cost if using small woods calc</t>
  </si>
  <si>
    <t>&lt;=50ha assume one stratum</t>
  </si>
  <si>
    <t>Deer Fencing up to 1,585m (sufficient to fence 20ha gross area)</t>
  </si>
  <si>
    <t>Deer Fencing above 1,585m (sufficient to fence 20ha gross area)</t>
  </si>
  <si>
    <t>** sheep &amp; trees = £28.50/m, 30m/ha, cap 1500m/application</t>
  </si>
  <si>
    <t>6.60/m2 laybys etc, 32.40/m2 bell-mouth</t>
  </si>
  <si>
    <t>Forest Infrastructure (ruralpayments.org)</t>
  </si>
  <si>
    <t>Pigs</t>
  </si>
  <si>
    <t>Farm Incomes in Northern Ireland 2004 to 2020 | Department of Agriculture, Environment and Rural Affairs (daera-ni.gov.uk)</t>
  </si>
  <si>
    <t>Scots Pine - Thinned</t>
  </si>
  <si>
    <t xml:space="preserve">Scots Pine </t>
  </si>
  <si>
    <t>31, 36, 41, 46, 51, 56, 61, 66, 71</t>
  </si>
  <si>
    <t>Cattle and Sheep (Lowland)</t>
  </si>
  <si>
    <t>**Average of 'Cereal' and 'General Cropping' categories</t>
  </si>
  <si>
    <t>Arable</t>
  </si>
  <si>
    <t>**'Lowland Cattle and Sheep' in NI Dataset</t>
  </si>
  <si>
    <t>**'LFA Cattle and Sheep' for FBI, 'DA Cattle and Sheep' for BPS</t>
  </si>
  <si>
    <t>**'Grazing Livestock (Lowland)' in Welsh Dataset</t>
  </si>
  <si>
    <t>*Uses 'cropping' as 'general cropping' had no data, three year average.  Cereals dataset is too small/not published in Wales</t>
  </si>
  <si>
    <t>Forest Expansion Scheme Questions and Answers 2020-2021.pdf (daera-ni.gov.uk)</t>
  </si>
  <si>
    <t>Cattle and sheep (LFA)</t>
  </si>
  <si>
    <t>Other pest protection</t>
  </si>
  <si>
    <t>https://www.fas.scot/downloads/sf-forestry-grant-scheme-woodland-creation/</t>
  </si>
  <si>
    <t>https://assets.publishing.service.gov.uk/government/uploads/system/uploads/attachment_data/file/992079/ON042_-_Guidance_on_woodland_grant_schemes_and_BPS_v5.0_issued_09062021.pdf</t>
  </si>
  <si>
    <t>** Ensure that the areas in the species/planting area table add up to net area</t>
  </si>
  <si>
    <t>Glastir Woodland Creation (window 11, September 2021): rules booklet [HTML] | GOV.WALES</t>
  </si>
  <si>
    <t>Establishment</t>
  </si>
  <si>
    <t>Maintenance</t>
  </si>
  <si>
    <t>Max one gate of either type per 100m</t>
  </si>
  <si>
    <t>SP</t>
  </si>
  <si>
    <t>NS/Other Conifer</t>
  </si>
  <si>
    <t>Broadleaves - 1% of restock cost (Assumed £3,500/ha)</t>
  </si>
  <si>
    <t>Insurance Premium/ha</t>
  </si>
  <si>
    <t>Annual</t>
  </si>
  <si>
    <t>1% of crop value</t>
  </si>
  <si>
    <t>Max Insurance @ clearfell age</t>
  </si>
  <si>
    <t>Insurance - Minimum premium</t>
  </si>
  <si>
    <t>See cashflow</t>
  </si>
  <si>
    <t>** Ensure total area equals assumed gross area (Cell B8)</t>
  </si>
  <si>
    <t>**Input from FLS and Wildlands</t>
  </si>
  <si>
    <t>See below, Variable</t>
  </si>
  <si>
    <t>Years when verification occurs</t>
  </si>
  <si>
    <t>WCC Levy</t>
  </si>
  <si>
    <t>PIU to WCU Conversion</t>
  </si>
  <si>
    <t xml:space="preserve">Verification </t>
  </si>
  <si>
    <t>Survey work</t>
  </si>
  <si>
    <t>Unit issuance</t>
  </si>
  <si>
    <t>Per Unit</t>
  </si>
  <si>
    <t>Minimum fee</t>
  </si>
  <si>
    <t>£100 single project, £14.29 Group of projects</t>
  </si>
  <si>
    <t>£100 (PIU Issuance plus WCC Levy)</t>
  </si>
  <si>
    <t>Carbon Income Once Verified             (by Vintage)</t>
  </si>
  <si>
    <t>Gross Carbon Income Once Verified (Cumulative)</t>
  </si>
  <si>
    <t>Carbon Income  Up Front (year 0)</t>
  </si>
  <si>
    <t>Summary Validation/Verification prices                                                        (Source: Soil Assoc and OF&amp;G)</t>
  </si>
  <si>
    <t>No responsibility for loss occasioned to any person or organisation acting, or refraining from action, as a result of any material in the product can be accepted by Scottish Forestry or the Forestry Commission.</t>
  </si>
  <si>
    <t>The Woodland Carbon Code Cashflow is distributed ‘as is’ and without warranties as to performance or merchantability or any other warranties whether expressed or implied.</t>
  </si>
  <si>
    <t>April 2022</t>
  </si>
  <si>
    <t>Standardised costs and incomes where possible to ensure consistency, predictability and robustness across all projects.  Reintegrated Income Forgone/Current Landuse and Forestry scenarios.</t>
  </si>
  <si>
    <t>Minimum intervention broadleaves</t>
  </si>
  <si>
    <t>Broadleaves thin, clearfell or CCF</t>
  </si>
  <si>
    <t>Other conifers thin, clearfell or CCF</t>
  </si>
  <si>
    <t>Total Net Area</t>
  </si>
  <si>
    <t>Select one</t>
  </si>
  <si>
    <t>Cap on total number (#):</t>
  </si>
  <si>
    <t>Description of cap</t>
  </si>
  <si>
    <t>Annual costs</t>
  </si>
  <si>
    <t>Vehicle access gate maintenance</t>
  </si>
  <si>
    <t>Pedestrian gate maintenance</t>
  </si>
  <si>
    <t>Per gate</t>
  </si>
  <si>
    <t>Tree Shelter Removal</t>
  </si>
  <si>
    <t>Per shelter</t>
  </si>
  <si>
    <t>Per guard</t>
  </si>
  <si>
    <t>For Reference Only. This tab outlines any standard income used in the cashflow.</t>
  </si>
  <si>
    <t>For Reference Only. This tab outlines the standard costs used in the cashflow.</t>
  </si>
  <si>
    <t>For Reference Only. This tab outlines the standard income forgone and BPS data used in the cashflow.</t>
  </si>
  <si>
    <r>
      <t>This tab shows the</t>
    </r>
    <r>
      <rPr>
        <b/>
        <sz val="12"/>
        <rFont val="Verdana"/>
        <family val="2"/>
      </rPr>
      <t xml:space="preserve"> results of the investment test and information about the relative share of different income sources which you will need to transfer to your Project Design Document.</t>
    </r>
  </si>
  <si>
    <t>Planting, Establishment and Management Costs</t>
  </si>
  <si>
    <t>** For lower density areas enter the 'actual' area, not the 'effective' area</t>
  </si>
  <si>
    <t>Version 3:  For projects applying to the Woodland Carbon Guarantee in England wishing to claim at 5-yearly verifications</t>
  </si>
  <si>
    <t>Version 2:  For WCC Projects applying to the Woodland Carbon Guarantee in England, wishing to claim at 10-yearly verifications</t>
  </si>
  <si>
    <t>Fencing and road/track infrastructure</t>
  </si>
  <si>
    <t>Scrub Control &lt; 7cm dbh</t>
  </si>
  <si>
    <t>**Select either tree shelters OR vole guards for each species group</t>
  </si>
  <si>
    <t>Species, spacing and other protection for planting costs and timber income</t>
  </si>
  <si>
    <t>For Reference Only. This tab presents all of the information you have provided in the Data Entry tab in a discounted cashflow to determine whether or not your project is currently additional.</t>
  </si>
  <si>
    <t>Calendar year if one-off donation</t>
  </si>
  <si>
    <t>Calendar year if one-off income</t>
  </si>
  <si>
    <t>&lt;Enter your name&gt;</t>
  </si>
  <si>
    <t>&lt;Project name&gt;</t>
  </si>
  <si>
    <t>Natural regeneration broadleaves</t>
  </si>
  <si>
    <r>
      <t xml:space="preserve">Please </t>
    </r>
    <r>
      <rPr>
        <b/>
        <sz val="12"/>
        <rFont val="Verdana"/>
        <family val="2"/>
      </rPr>
      <t xml:space="preserve">enter all relevant details from your project into the blue cells </t>
    </r>
    <r>
      <rPr>
        <sz val="12"/>
        <rFont val="Verdana"/>
        <family val="2"/>
      </rPr>
      <t>on this spreadsheet. The data you enter is combined with standardised costs and income to generate a project-specific cashflow. Proof of all activites undertaken on site will be required.</t>
    </r>
  </si>
  <si>
    <r>
      <t xml:space="preserve">The cost/income data that is used to calculate the viability of you </t>
    </r>
    <r>
      <rPr>
        <sz val="12"/>
        <color indexed="8"/>
        <rFont val="Verdana"/>
        <family val="2"/>
      </rPr>
      <t>project will be reviewed annually</t>
    </r>
    <r>
      <rPr>
        <sz val="12"/>
        <rFont val="Verdana"/>
        <family val="2"/>
      </rPr>
      <t xml:space="preserve"> to ensure that the figures used are up-to-date and as accurate as possible.</t>
    </r>
  </si>
  <si>
    <t>Date of Calculation</t>
  </si>
  <si>
    <t>Validating as a single project or part of a group?</t>
  </si>
  <si>
    <t>Are you using the small woods carbon calculator (only&lt;=5ha)?</t>
  </si>
  <si>
    <t>See total fence length</t>
  </si>
  <si>
    <t>Max length claimable (m): Same as total fence length</t>
  </si>
  <si>
    <t>Cap on length (m):</t>
  </si>
  <si>
    <t>Squirrel: Purchase and installation of traps at year 15</t>
  </si>
  <si>
    <t>** Ensure that the areas in the ground preparation table add up to net area</t>
  </si>
  <si>
    <t>** Ensure that the area of drains is less than or equal to net area</t>
  </si>
  <si>
    <t>Fertiliser Purchase and Application?</t>
  </si>
  <si>
    <t>Sitka spruce thin, clearfell or CCF</t>
  </si>
  <si>
    <t>Scots pine thin, clearfell or CCF</t>
  </si>
  <si>
    <t>Minimum intervention Scots pine</t>
  </si>
  <si>
    <t>Natural regeneration Scots pine</t>
  </si>
  <si>
    <t>**Copy and Paste from your carbon calculator to the tables below to calculate carbon income and costs</t>
  </si>
  <si>
    <t>Gross Area including 10% Open Ground (ha)</t>
  </si>
  <si>
    <t>Ground Prep - Hand Screefing</t>
  </si>
  <si>
    <t>Fertiliser Purchase &amp; Application</t>
  </si>
  <si>
    <t>Staff/contractor onsite welfare</t>
  </si>
  <si>
    <t>Ongoing Management</t>
  </si>
  <si>
    <t>Squirrel Control at year 15</t>
  </si>
  <si>
    <t>Woodland Carbon Code Costs</t>
  </si>
  <si>
    <t>Grants</t>
  </si>
  <si>
    <t>Conifers - 1% of value of crop (linear increase over time of value of crop up to clearfell value, min £35/ha)</t>
  </si>
  <si>
    <t>**England Woodland Cretion Offer (EWCO) Standard Cost</t>
  </si>
  <si>
    <t>**Scottish Grant Cost - Uplifted to 100%</t>
  </si>
  <si>
    <t>**Assume same as Bracken Cost</t>
  </si>
  <si>
    <t>**Assumes non-biodegradable, stakeholder feedback</t>
  </si>
  <si>
    <t>**Scottish Grant Cost uplifted to 100%</t>
  </si>
  <si>
    <t>**Cost of auto trap ~£60 - cost of installation £40 - one trap per hectare</t>
  </si>
  <si>
    <t>**'Premium' added to Scottish grant figure following stakeholder feedback.  £20/m for the first 1585m</t>
  </si>
  <si>
    <t>**Scottish Grant adjusted up following stakeholder feedback. £15/m for fencing above 1585m</t>
  </si>
  <si>
    <t>**Scottish Grant Capital items upgrading stock fence to deer fence payment rate uplifted to 100%</t>
  </si>
  <si>
    <t>**50p/metre and 150m drains/ha</t>
  </si>
  <si>
    <t>**Feedback from FLS Civil Engineering</t>
  </si>
  <si>
    <t>**Feedback from sector, includes minimum visitor mgmt for H&amp;S</t>
  </si>
  <si>
    <t>**Consistence with fence &amp; track maintenance</t>
  </si>
  <si>
    <t>**See below for detail. Feedback from insurers.</t>
  </si>
  <si>
    <t>**Feedback from sector</t>
  </si>
  <si>
    <t>**Estimated cost of administration by 3rd party or in own time</t>
  </si>
  <si>
    <t>**Based on SA/OF&amp;G Costs, Group based on 7 projects in a group</t>
  </si>
  <si>
    <t>**WCC Costs from 1/10/2022</t>
  </si>
  <si>
    <t>**WCC Costs from 1/10/2022 - Minimum £100 single project - or £14.29 based on a group of 7 similar sized projects</t>
  </si>
  <si>
    <t>DAERA internal data</t>
  </si>
  <si>
    <t>**'Lowland Cattle and Sheep' in Scottish Dataset</t>
  </si>
  <si>
    <t>** Assumes Carbon Price of £15/tCO2e as PIUs or £20/tCO2e as WCUs</t>
  </si>
  <si>
    <t>** Assuming consistent prices for carbon and timber allows comparison of the relative impact of these incomes. As and when better carbon and timber price information becomes available, this Cashflow will be updated.</t>
  </si>
  <si>
    <t>Copy Investment Test Results and 'Share of Income by Source' table into PDD</t>
  </si>
  <si>
    <t>** See 'Income Data' for assumptions about Carbon and Timber prices</t>
  </si>
  <si>
    <t>Investment test result</t>
  </si>
  <si>
    <t>Income/             Costs (%)</t>
  </si>
  <si>
    <t>10g fertiliser/tree, 2.75p/tree cost of fertiliser (Cheviot Trees), 4p/tree to apply (Industry Feedback) - total 7p/tree</t>
  </si>
  <si>
    <t>**Minimum insurance premium based on 1% of restock value (assumed £3,500).  Feedback from Insurers and sector</t>
  </si>
  <si>
    <t xml:space="preserve">Tree Shelter Removal +10 years after planting/restock </t>
  </si>
  <si>
    <t>Broadleaves, SP Minimum Intervention or Nat Regen</t>
  </si>
  <si>
    <t>Single project</t>
  </si>
  <si>
    <t>** Only for species where Squirrel control is necessary</t>
  </si>
  <si>
    <t>**Enter annual amount where income is annual</t>
  </si>
  <si>
    <t>Max length claimable (m): circumference of (4*net area)</t>
  </si>
  <si>
    <t>**Upper Quartile Cattle and Sheep (LFA) for FBI and BPS</t>
  </si>
  <si>
    <t>November 2022</t>
  </si>
  <si>
    <t>Updating Income Forgone England Cattle and Sheep (Lowland), Income Forgone Scotland Cattle and Sheep (LFA), threshold for fence length in costs, other minor inconsistencies.</t>
  </si>
  <si>
    <t>**Average 'Grazing livestock (LFA)' in English Dataset</t>
  </si>
  <si>
    <t>**FBI and BPS are the minimum of all England categories</t>
  </si>
  <si>
    <t>**FBI and BPS are the minimum of all NI categories</t>
  </si>
  <si>
    <t>**FBI and BPS are the minimum of all Scotland categories</t>
  </si>
  <si>
    <t>**FBI and BPS are the minimum of all Wales categories</t>
  </si>
  <si>
    <t>** Ensure that the areas in the site preparation table add up to net area</t>
  </si>
  <si>
    <t>** Enter total capital grant received</t>
  </si>
  <si>
    <t>** Enter total planning grant received</t>
  </si>
  <si>
    <t>Name of sponsorship</t>
  </si>
  <si>
    <t>Grant - Enter Actual Grant Value for the project as a whole - Provide Grant Contract(s) as proof</t>
  </si>
  <si>
    <t>2.2.1</t>
  </si>
  <si>
    <t>** Enter annual maintenance payment and the number of years you receive that annual payment.</t>
  </si>
  <si>
    <t>** Enter annual payment and number of  years you receive that annual payment - e.g. if in Wales and you get the £350/ha/year premium payment</t>
  </si>
  <si>
    <t>Average Basic Payment Scheme (BPS) Payments in 2021 prices</t>
  </si>
  <si>
    <t>Farm Business Income (FBI - excluding diversification) in 2021 prices (average over five years)</t>
  </si>
  <si>
    <t>Potential Income From Alternative Landuse</t>
  </si>
  <si>
    <t>NPV Alternative Landuse:</t>
  </si>
  <si>
    <t>Will you continue to claim BPS?</t>
  </si>
  <si>
    <t>Scotland (shapefile to add to your GIS system)</t>
  </si>
  <si>
    <t>England - Magic Map -&gt; Landscape -&gt; Landscape Classifications -&gt; Agricultural Land Classicification - Provisional (England)</t>
  </si>
  <si>
    <t>Scotland's Environment Web -&gt; Search 'National Scale Land Capability for Agriculture 1:250 000' and for more detail in some areas 'Land Capability for Agriculture Partial Cover 1:50,000'.  Where the 1:50,000 map exists, use that version.</t>
  </si>
  <si>
    <t>Maps of Less Favoured Areas:</t>
  </si>
  <si>
    <t>Please provide your DAERA farm map which provides Land Type (1 - Severely Disadvantaged (SA), 2 - Disadvantaged (DA) or 3 - Lowland (LL))</t>
  </si>
  <si>
    <t>** In some cases where land has been purchased, the new landowner is no longer eligible for BPS payments; if you are eligible it is possible to refuse BPS payments for a woodland creation project.  Please provide your Single Application Form confirming your BPS claim.</t>
  </si>
  <si>
    <r>
      <t xml:space="preserve">Average Tree Spacing (m)                                                     </t>
    </r>
    <r>
      <rPr>
        <i/>
        <sz val="10"/>
        <rFont val="Verdana"/>
        <family val="2"/>
      </rPr>
      <t xml:space="preserve">  Enter a number &gt; 0.0 and &lt;=5m spacing</t>
    </r>
  </si>
  <si>
    <t>Maps of Land Capability for Agriculture:</t>
  </si>
  <si>
    <t>Data Sources for Less Favoured Area and Land Capability for Agriculture data:</t>
  </si>
  <si>
    <t>Please provide your DAERA farm map which provides Land Capability for Agriculture Class</t>
  </si>
  <si>
    <t>Please provide map indicating LFA status</t>
  </si>
  <si>
    <t>Additionality is assessed at validation. You must use the 'current' WCC Cashflow at the time you submit for validation. From 22 November 2022, this Version 2.2.1 applies.  If you have already submitted using Version 2.2 then your validation will continue on that version. Bear in mind that the version required for validation might be a different version to the one you consider at or before registration.</t>
  </si>
  <si>
    <t>UP FRONT</t>
  </si>
  <si>
    <t>10-Yearly</t>
  </si>
  <si>
    <t>** Where woodland creation area is not Less Favoured Area and is Land Capability for Agriculture Class 4+</t>
  </si>
  <si>
    <t>** Where woodland creation area doesn't fall into the agricultural categories above</t>
  </si>
  <si>
    <t>Data Map Wales -&gt; Search 'Predictive Agricultural Land Classification (ALC) Map 2'</t>
  </si>
  <si>
    <t>England - Magic Map -&gt; Designations -&gt; Land-Based Designations -&gt; Statutory -&gt;Less Favoured Areas (England)</t>
  </si>
  <si>
    <t>When will carbon be sold?</t>
  </si>
  <si>
    <t>Are you using the Woodland Carbon Guarantee (WCaG)?</t>
  </si>
  <si>
    <t>Are you verifying 5-yearly or 10-yearly?</t>
  </si>
  <si>
    <t>Select Country</t>
  </si>
  <si>
    <t>Total Check</t>
  </si>
  <si>
    <t xml:space="preserve">Total Check </t>
  </si>
  <si>
    <t>Yes</t>
  </si>
  <si>
    <t>** Where woodland creation area is Land Capability for Agriculture Class 1-3.</t>
  </si>
  <si>
    <t>** Where woodland creation area is classed as 'Less Favoured Area' (Disadvantaged or Severely Disadvantaged) and Land Capability for Agriculture Class 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</si>
</sst>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5">
    <numFmt numFmtId="7" formatCode="&quot;£&quot;#,##0.00;\-&quot;£&quot;#,##0.00"/>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0.0"/>
    <numFmt numFmtId="165" formatCode="_-* #,##0_-;\-* #,##0_-;_-* &quot;-&quot;??_-;_-@_-"/>
    <numFmt numFmtId="166" formatCode="0.0%"/>
    <numFmt numFmtId="167" formatCode="[$-809]dd\ mmmm\ yyyy;@"/>
    <numFmt numFmtId="168" formatCode="dd/mm/yy;@"/>
    <numFmt numFmtId="169" formatCode="[$-409]d\-mmm\-yy;@"/>
    <numFmt numFmtId="170" formatCode="[$-F800]dddd\,\ mmmm\ dd\,\ yyyy"/>
    <numFmt numFmtId="171" formatCode="&quot;£&quot;#,##0.00"/>
    <numFmt numFmtId="172" formatCode="&quot;$&quot;#,##0\ ;\(&quot;$&quot;#,##0\)"/>
    <numFmt numFmtId="173" formatCode="#,##0_ ;\-#,##0\ "/>
  </numFmts>
  <fonts count="45" x14ac:knownFonts="1">
    <font>
      <sz val="10"/>
      <name val="Verdana"/>
    </font>
    <font>
      <sz val="10"/>
      <name val="Verdana"/>
      <family val="2"/>
    </font>
    <font>
      <sz val="8"/>
      <name val="Verdana"/>
      <family val="2"/>
    </font>
    <font>
      <b/>
      <sz val="10"/>
      <name val="Verdana"/>
      <family val="2"/>
    </font>
    <font>
      <b/>
      <u/>
      <sz val="10"/>
      <name val="Verdana"/>
      <family val="2"/>
    </font>
    <font>
      <i/>
      <sz val="10"/>
      <name val="Verdana"/>
      <family val="2"/>
    </font>
    <font>
      <i/>
      <u/>
      <sz val="10"/>
      <name val="Verdana"/>
      <family val="2"/>
    </font>
    <font>
      <u/>
      <sz val="10"/>
      <color indexed="12"/>
      <name val="Verdana"/>
      <family val="2"/>
    </font>
    <font>
      <sz val="10"/>
      <name val="Verdana"/>
      <family val="2"/>
    </font>
    <font>
      <sz val="10"/>
      <name val="Verdana"/>
      <family val="2"/>
    </font>
    <font>
      <b/>
      <sz val="11"/>
      <color indexed="10"/>
      <name val="Arial"/>
      <family val="2"/>
    </font>
    <font>
      <b/>
      <i/>
      <sz val="10"/>
      <name val="Verdana"/>
      <family val="2"/>
    </font>
    <font>
      <b/>
      <sz val="10"/>
      <color indexed="12"/>
      <name val="Verdana"/>
      <family val="2"/>
    </font>
    <font>
      <b/>
      <sz val="12"/>
      <name val="Verdana"/>
      <family val="2"/>
    </font>
    <font>
      <sz val="12"/>
      <name val="Arial"/>
      <family val="2"/>
    </font>
    <font>
      <sz val="12"/>
      <name val="Verdana"/>
      <family val="2"/>
    </font>
    <font>
      <u/>
      <sz val="10"/>
      <name val="Verdana"/>
      <family val="2"/>
    </font>
    <font>
      <sz val="10"/>
      <name val="Verdana"/>
      <family val="2"/>
    </font>
    <font>
      <b/>
      <i/>
      <u/>
      <sz val="10"/>
      <name val="Verdana"/>
      <family val="2"/>
    </font>
    <font>
      <sz val="10"/>
      <name val="Arial"/>
      <family val="2"/>
    </font>
    <font>
      <sz val="10"/>
      <color indexed="24"/>
      <name val="Arial"/>
      <family val="2"/>
    </font>
    <font>
      <b/>
      <sz val="18"/>
      <color indexed="24"/>
      <name val="Arial"/>
      <family val="2"/>
    </font>
    <font>
      <b/>
      <sz val="12"/>
      <color indexed="24"/>
      <name val="Arial"/>
      <family val="2"/>
    </font>
    <font>
      <u/>
      <sz val="10"/>
      <color indexed="12"/>
      <name val="Arial"/>
      <family val="2"/>
    </font>
    <font>
      <b/>
      <sz val="16"/>
      <name val="Verdana"/>
      <family val="2"/>
    </font>
    <font>
      <sz val="10"/>
      <name val="Verdana"/>
      <family val="2"/>
    </font>
    <font>
      <sz val="12"/>
      <name val="Arial"/>
      <family val="2"/>
    </font>
    <font>
      <sz val="12"/>
      <name val="Times New Roman"/>
      <family val="1"/>
    </font>
    <font>
      <b/>
      <sz val="11"/>
      <color indexed="8"/>
      <name val="Calibri"/>
      <family val="2"/>
    </font>
    <font>
      <b/>
      <sz val="14"/>
      <name val="Verdana"/>
      <family val="2"/>
    </font>
    <font>
      <sz val="16"/>
      <name val="Verdana"/>
      <family val="2"/>
    </font>
    <font>
      <b/>
      <i/>
      <sz val="12"/>
      <name val="Verdana"/>
      <family val="2"/>
    </font>
    <font>
      <sz val="12"/>
      <color indexed="8"/>
      <name val="Verdana"/>
      <family val="2"/>
    </font>
    <font>
      <sz val="11"/>
      <color theme="1"/>
      <name val="Calibri"/>
      <family val="2"/>
      <scheme val="minor"/>
    </font>
    <font>
      <sz val="11"/>
      <color indexed="8"/>
      <name val="Calibri"/>
      <family val="2"/>
      <scheme val="minor"/>
    </font>
    <font>
      <b/>
      <sz val="11"/>
      <color theme="1"/>
      <name val="Calibri"/>
      <family val="2"/>
      <scheme val="minor"/>
    </font>
    <font>
      <u/>
      <sz val="10"/>
      <color theme="0"/>
      <name val="Verdana"/>
      <family val="2"/>
    </font>
    <font>
      <sz val="10"/>
      <color theme="0"/>
      <name val="Verdana"/>
      <family val="2"/>
    </font>
    <font>
      <sz val="9"/>
      <color theme="0"/>
      <name val="Verdana"/>
      <family val="2"/>
    </font>
    <font>
      <b/>
      <u/>
      <sz val="10"/>
      <color rgb="FFFF0000"/>
      <name val="Verdana"/>
      <family val="2"/>
    </font>
    <font>
      <b/>
      <sz val="10"/>
      <color theme="0"/>
      <name val="Verdana"/>
      <family val="2"/>
    </font>
    <font>
      <b/>
      <sz val="14"/>
      <color rgb="FFFF0000"/>
      <name val="Verdana"/>
      <family val="2"/>
    </font>
    <font>
      <sz val="10"/>
      <color rgb="FFFF0000"/>
      <name val="Verdana"/>
      <family val="2"/>
    </font>
    <font>
      <b/>
      <sz val="10"/>
      <color rgb="FFFF0000"/>
      <name val="Verdana"/>
      <family val="2"/>
    </font>
    <font>
      <sz val="10"/>
      <color rgb="FFFFFF00"/>
      <name val="Verdana"/>
      <family val="2"/>
    </font>
  </fonts>
  <fills count="28">
    <fill>
      <patternFill patternType="none"/>
    </fill>
    <fill>
      <patternFill patternType="gray125"/>
    </fill>
    <fill>
      <patternFill patternType="solid">
        <fgColor indexed="22"/>
        <bgColor indexed="64"/>
      </patternFill>
    </fill>
    <fill>
      <patternFill patternType="solid">
        <fgColor rgb="FF00B0F0"/>
        <bgColor indexed="64"/>
      </patternFill>
    </fill>
    <fill>
      <patternFill patternType="solid">
        <fgColor theme="0" tint="-0.14999847407452621"/>
        <bgColor indexed="64"/>
      </patternFill>
    </fill>
    <fill>
      <patternFill patternType="solid">
        <fgColor theme="0" tint="-0.14996795556505021"/>
        <bgColor indexed="64"/>
      </patternFill>
    </fill>
    <fill>
      <patternFill patternType="solid">
        <fgColor rgb="FF00FFFF"/>
        <bgColor indexed="64"/>
      </patternFill>
    </fill>
    <fill>
      <patternFill patternType="solid">
        <fgColor theme="6" tint="0.79998168889431442"/>
        <bgColor indexed="64"/>
      </patternFill>
    </fill>
    <fill>
      <patternFill patternType="solid">
        <fgColor theme="6" tint="0.39994506668294322"/>
        <bgColor indexed="64"/>
      </patternFill>
    </fill>
    <fill>
      <patternFill patternType="solid">
        <fgColor rgb="FF0070C0"/>
        <bgColor indexed="64"/>
      </patternFill>
    </fill>
    <fill>
      <patternFill patternType="solid">
        <fgColor theme="6" tint="-0.24994659260841701"/>
        <bgColor indexed="64"/>
      </patternFill>
    </fill>
    <fill>
      <patternFill patternType="solid">
        <fgColor theme="3" tint="0.79998168889431442"/>
        <bgColor indexed="64"/>
      </patternFill>
    </fill>
    <fill>
      <patternFill patternType="solid">
        <fgColor theme="6" tint="0.39997558519241921"/>
        <bgColor indexed="64"/>
      </patternFill>
    </fill>
    <fill>
      <patternFill patternType="solid">
        <fgColor rgb="FF92D050"/>
        <bgColor indexed="64"/>
      </patternFill>
    </fill>
    <fill>
      <patternFill patternType="solid">
        <fgColor theme="0" tint="-0.24994659260841701"/>
        <bgColor indexed="64"/>
      </patternFill>
    </fill>
    <fill>
      <patternFill patternType="solid">
        <fgColor rgb="FFFFFF00"/>
        <bgColor indexed="64"/>
      </patternFill>
    </fill>
    <fill>
      <patternFill patternType="solid">
        <fgColor theme="9" tint="0.79998168889431442"/>
        <bgColor indexed="64"/>
      </patternFill>
    </fill>
    <fill>
      <patternFill patternType="solid">
        <fgColor theme="9" tint="-0.24994659260841701"/>
        <bgColor indexed="64"/>
      </patternFill>
    </fill>
    <fill>
      <patternFill patternType="solid">
        <fgColor theme="0"/>
        <bgColor indexed="64"/>
      </patternFill>
    </fill>
    <fill>
      <patternFill patternType="solid">
        <fgColor rgb="FFFFFF66"/>
        <bgColor indexed="64"/>
      </patternFill>
    </fill>
    <fill>
      <patternFill patternType="solid">
        <fgColor theme="0" tint="-4.9989318521683403E-2"/>
        <bgColor indexed="64"/>
      </patternFill>
    </fill>
    <fill>
      <patternFill patternType="solid">
        <fgColor theme="6" tint="-0.249977111117893"/>
        <bgColor indexed="64"/>
      </patternFill>
    </fill>
    <fill>
      <patternFill patternType="solid">
        <fgColor theme="6" tint="0.59999389629810485"/>
        <bgColor indexed="64"/>
      </patternFill>
    </fill>
    <fill>
      <patternFill patternType="solid">
        <fgColor rgb="FFFFC000"/>
        <bgColor indexed="64"/>
      </patternFill>
    </fill>
    <fill>
      <patternFill patternType="solid">
        <fgColor theme="0" tint="-0.249977111117893"/>
        <bgColor indexed="64"/>
      </patternFill>
    </fill>
    <fill>
      <patternFill patternType="solid">
        <fgColor theme="9"/>
        <bgColor indexed="64"/>
      </patternFill>
    </fill>
    <fill>
      <patternFill patternType="solid">
        <fgColor rgb="FF66FFFF"/>
        <bgColor indexed="64"/>
      </patternFill>
    </fill>
    <fill>
      <patternFill patternType="solid">
        <fgColor theme="8" tint="0.59996337778862885"/>
        <bgColor indexed="64"/>
      </patternFill>
    </fill>
  </fills>
  <borders count="108">
    <border>
      <left/>
      <right/>
      <top/>
      <bottom/>
      <diagonal/>
    </border>
    <border>
      <left style="thin">
        <color indexed="64"/>
      </left>
      <right style="thin">
        <color indexed="64"/>
      </right>
      <top/>
      <bottom/>
      <diagonal/>
    </border>
    <border>
      <left/>
      <right/>
      <top style="double">
        <color indexed="64"/>
      </top>
      <bottom/>
      <diagonal/>
    </border>
    <border>
      <left/>
      <right/>
      <top style="medium">
        <color indexed="64"/>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64"/>
      </left>
      <right/>
      <top style="thick">
        <color indexed="64"/>
      </top>
      <bottom/>
      <diagonal/>
    </border>
    <border>
      <left/>
      <right/>
      <top style="thick">
        <color indexed="64"/>
      </top>
      <bottom/>
      <diagonal/>
    </border>
    <border>
      <left style="medium">
        <color indexed="64"/>
      </left>
      <right style="thick">
        <color indexed="64"/>
      </right>
      <top style="thick">
        <color indexed="64"/>
      </top>
      <bottom/>
      <diagonal/>
    </border>
    <border>
      <left style="thick">
        <color indexed="64"/>
      </left>
      <right style="thin">
        <color indexed="64"/>
      </right>
      <top style="thin">
        <color indexed="64"/>
      </top>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style="medium">
        <color indexed="64"/>
      </right>
      <top style="thin">
        <color indexed="64"/>
      </top>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style="thin">
        <color indexed="64"/>
      </left>
      <right/>
      <top style="medium">
        <color indexed="64"/>
      </top>
      <bottom style="medium">
        <color indexed="64"/>
      </bottom>
      <diagonal/>
    </border>
    <border>
      <left/>
      <right/>
      <top style="thin">
        <color indexed="64"/>
      </top>
      <bottom style="thin">
        <color indexed="64"/>
      </bottom>
      <diagonal/>
    </border>
    <border>
      <left style="thin">
        <color indexed="64"/>
      </left>
      <right/>
      <top style="dashDot">
        <color indexed="64"/>
      </top>
      <bottom style="thin">
        <color indexed="64"/>
      </bottom>
      <diagonal/>
    </border>
    <border>
      <left/>
      <right style="thin">
        <color indexed="64"/>
      </right>
      <top style="dashDot">
        <color indexed="64"/>
      </top>
      <bottom style="thin">
        <color indexed="64"/>
      </bottom>
      <diagonal/>
    </border>
    <border>
      <left style="thin">
        <color indexed="64"/>
      </left>
      <right style="thin">
        <color indexed="64"/>
      </right>
      <top style="double">
        <color indexed="64"/>
      </top>
      <bottom/>
      <diagonal/>
    </border>
    <border>
      <left/>
      <right/>
      <top style="thin">
        <color indexed="64"/>
      </top>
      <bottom style="double">
        <color indexed="64"/>
      </bottom>
      <diagonal/>
    </border>
    <border>
      <left/>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thick">
        <color indexed="64"/>
      </bottom>
      <diagonal/>
    </border>
    <border>
      <left style="thin">
        <color indexed="64"/>
      </left>
      <right/>
      <top/>
      <bottom style="dashDot">
        <color indexed="64"/>
      </bottom>
      <diagonal/>
    </border>
    <border>
      <left/>
      <right style="thin">
        <color indexed="64"/>
      </right>
      <top/>
      <bottom style="dashDot">
        <color indexed="64"/>
      </bottom>
      <diagonal/>
    </border>
    <border>
      <left style="thin">
        <color indexed="64"/>
      </left>
      <right style="thin">
        <color indexed="64"/>
      </right>
      <top/>
      <bottom style="dashDot">
        <color indexed="64"/>
      </bottom>
      <diagonal/>
    </border>
    <border>
      <left style="thin">
        <color indexed="64"/>
      </left>
      <right style="thin">
        <color indexed="64"/>
      </right>
      <top style="dashDot">
        <color indexed="64"/>
      </top>
      <bottom style="thin">
        <color indexed="64"/>
      </bottom>
      <diagonal/>
    </border>
    <border>
      <left style="medium">
        <color indexed="64"/>
      </left>
      <right/>
      <top style="thin">
        <color indexed="64"/>
      </top>
      <bottom style="double">
        <color indexed="64"/>
      </bottom>
      <diagonal/>
    </border>
    <border>
      <left style="thin">
        <color indexed="64"/>
      </left>
      <right style="thin">
        <color indexed="64"/>
      </right>
      <top style="thick">
        <color indexed="64"/>
      </top>
      <bottom style="thick">
        <color indexed="64"/>
      </bottom>
      <diagonal/>
    </border>
    <border>
      <left style="thin">
        <color indexed="64"/>
      </left>
      <right style="thin">
        <color indexed="64"/>
      </right>
      <top style="thick">
        <color indexed="64"/>
      </top>
      <bottom/>
      <diagonal/>
    </border>
    <border>
      <left style="thin">
        <color indexed="64"/>
      </left>
      <right style="thin">
        <color indexed="64"/>
      </right>
      <top/>
      <bottom style="thick">
        <color indexed="64"/>
      </bottom>
      <diagonal/>
    </border>
    <border>
      <left/>
      <right style="thin">
        <color indexed="64"/>
      </right>
      <top style="thick">
        <color indexed="64"/>
      </top>
      <bottom style="thin">
        <color indexed="64"/>
      </bottom>
      <diagonal/>
    </border>
    <border>
      <left/>
      <right style="thin">
        <color indexed="64"/>
      </right>
      <top style="thin">
        <color indexed="64"/>
      </top>
      <bottom style="thick">
        <color indexed="64"/>
      </bottom>
      <diagonal/>
    </border>
    <border>
      <left/>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ck">
        <color indexed="64"/>
      </left>
      <right style="thin">
        <color indexed="64"/>
      </right>
      <top style="thin">
        <color indexed="64"/>
      </top>
      <bottom style="thin">
        <color indexed="64"/>
      </bottom>
      <diagonal/>
    </border>
    <border>
      <left style="medium">
        <color indexed="64"/>
      </left>
      <right style="thick">
        <color indexed="64"/>
      </right>
      <top style="thin">
        <color indexed="64"/>
      </top>
      <bottom style="thin">
        <color indexed="64"/>
      </bottom>
      <diagonal/>
    </border>
    <border>
      <left style="thick">
        <color indexed="64"/>
      </left>
      <right style="thin">
        <color indexed="64"/>
      </right>
      <top/>
      <bottom/>
      <diagonal/>
    </border>
    <border>
      <left style="thin">
        <color indexed="64"/>
      </left>
      <right style="thick">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right style="medium">
        <color indexed="64"/>
      </right>
      <top/>
      <bottom/>
      <diagonal/>
    </border>
    <border>
      <left/>
      <right style="medium">
        <color indexed="64"/>
      </right>
      <top/>
      <bottom style="medium">
        <color indexed="64"/>
      </bottom>
      <diagonal/>
    </border>
    <border>
      <left style="thick">
        <color indexed="64"/>
      </left>
      <right/>
      <top/>
      <bottom style="thick">
        <color indexed="64"/>
      </bottom>
      <diagonal/>
    </border>
    <border>
      <left style="medium">
        <color indexed="64"/>
      </left>
      <right style="thick">
        <color indexed="64"/>
      </right>
      <top/>
      <bottom style="thick">
        <color indexed="64"/>
      </bottom>
      <diagonal/>
    </border>
    <border>
      <left style="thick">
        <color indexed="64"/>
      </left>
      <right style="thin">
        <color indexed="64"/>
      </right>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double">
        <color indexed="64"/>
      </bottom>
      <diagonal/>
    </border>
    <border>
      <left/>
      <right/>
      <top style="double">
        <color indexed="64"/>
      </top>
      <bottom style="double">
        <color indexed="64"/>
      </bottom>
      <diagonal/>
    </border>
    <border>
      <left style="medium">
        <color indexed="64"/>
      </left>
      <right/>
      <top/>
      <bottom style="thin">
        <color indexed="64"/>
      </bottom>
      <diagonal/>
    </border>
    <border>
      <left/>
      <right/>
      <top style="medium">
        <color indexed="64"/>
      </top>
      <bottom style="thin">
        <color indexed="64"/>
      </bottom>
      <diagonal/>
    </border>
    <border>
      <left/>
      <right style="thick">
        <color rgb="FFFF0000"/>
      </right>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27">
    <xf numFmtId="0" fontId="0" fillId="0" borderId="0"/>
    <xf numFmtId="43" fontId="14" fillId="0" borderId="0" applyFont="0" applyFill="0" applyBorder="0" applyAlignment="0" applyProtection="0"/>
    <xf numFmtId="9" fontId="14" fillId="0" borderId="0" applyFont="0" applyFill="0" applyBorder="0" applyAlignment="0" applyProtection="0"/>
    <xf numFmtId="43" fontId="1" fillId="0" borderId="0" applyFont="0" applyFill="0" applyBorder="0" applyAlignment="0" applyProtection="0"/>
    <xf numFmtId="43" fontId="25" fillId="0" borderId="0" applyFont="0" applyFill="0" applyBorder="0" applyAlignment="0" applyProtection="0"/>
    <xf numFmtId="43" fontId="26" fillId="0" borderId="0" applyFont="0" applyFill="0" applyBorder="0" applyAlignment="0" applyProtection="0"/>
    <xf numFmtId="3" fontId="20" fillId="0" borderId="0" applyFont="0" applyFill="0" applyBorder="0" applyAlignment="0" applyProtection="0"/>
    <xf numFmtId="172" fontId="20" fillId="0" borderId="0" applyFont="0" applyFill="0" applyBorder="0" applyAlignment="0" applyProtection="0"/>
    <xf numFmtId="0" fontId="20" fillId="0" borderId="0" applyFont="0" applyFill="0" applyBorder="0" applyAlignment="0" applyProtection="0"/>
    <xf numFmtId="2" fontId="20" fillId="0" borderId="0" applyFon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3" fontId="20" fillId="0" borderId="1">
      <alignment horizontal="right"/>
    </xf>
    <xf numFmtId="0" fontId="7" fillId="0" borderId="0" applyNumberFormat="0" applyFill="0" applyBorder="0" applyAlignment="0" applyProtection="0">
      <alignment vertical="top"/>
      <protection locked="0"/>
    </xf>
    <xf numFmtId="0" fontId="23" fillId="0" borderId="0" applyNumberFormat="0" applyFill="0" applyBorder="0" applyAlignment="0" applyProtection="0">
      <alignment vertical="top"/>
      <protection locked="0"/>
    </xf>
    <xf numFmtId="0" fontId="19" fillId="0" borderId="0"/>
    <xf numFmtId="0" fontId="19" fillId="0" borderId="0"/>
    <xf numFmtId="0" fontId="27" fillId="0" borderId="0"/>
    <xf numFmtId="0" fontId="34" fillId="0" borderId="0"/>
    <xf numFmtId="0" fontId="25" fillId="0" borderId="0"/>
    <xf numFmtId="0" fontId="14" fillId="0" borderId="0"/>
    <xf numFmtId="0" fontId="26" fillId="0" borderId="0"/>
    <xf numFmtId="0" fontId="33" fillId="0" borderId="0"/>
    <xf numFmtId="9" fontId="19" fillId="0" borderId="0" applyFont="0" applyFill="0" applyBorder="0" applyAlignment="0" applyProtection="0"/>
    <xf numFmtId="9" fontId="25" fillId="0" borderId="0" applyFont="0" applyFill="0" applyBorder="0" applyAlignment="0" applyProtection="0"/>
    <xf numFmtId="9" fontId="26" fillId="0" borderId="0" applyFont="0" applyFill="0" applyBorder="0" applyAlignment="0" applyProtection="0"/>
    <xf numFmtId="0" fontId="20" fillId="0" borderId="2" applyNumberFormat="0" applyFont="0" applyFill="0" applyAlignment="0" applyProtection="0"/>
  </cellStyleXfs>
  <cellXfs count="1082">
    <xf numFmtId="0" fontId="0" fillId="0" borderId="0" xfId="0"/>
    <xf numFmtId="0" fontId="0" fillId="0" borderId="0" xfId="0" applyAlignment="1">
      <alignment wrapText="1"/>
    </xf>
    <xf numFmtId="165" fontId="9" fillId="3" borderId="3" xfId="3" applyNumberFormat="1" applyFont="1" applyFill="1" applyBorder="1" applyProtection="1"/>
    <xf numFmtId="165" fontId="9" fillId="3" borderId="4" xfId="3" applyNumberFormat="1" applyFont="1" applyFill="1" applyBorder="1" applyProtection="1"/>
    <xf numFmtId="165" fontId="0" fillId="0" borderId="0" xfId="3" applyNumberFormat="1" applyFont="1" applyFill="1" applyBorder="1" applyProtection="1"/>
    <xf numFmtId="165" fontId="0" fillId="0" borderId="0" xfId="3" applyNumberFormat="1" applyFont="1" applyProtection="1"/>
    <xf numFmtId="0" fontId="0" fillId="0" borderId="0" xfId="0" applyProtection="1"/>
    <xf numFmtId="1" fontId="3" fillId="0" borderId="0" xfId="0" applyNumberFormat="1" applyFont="1" applyFill="1" applyBorder="1" applyAlignment="1" applyProtection="1">
      <alignment vertical="center"/>
    </xf>
    <xf numFmtId="0" fontId="0" fillId="0" borderId="0" xfId="0" applyAlignment="1" applyProtection="1">
      <alignment vertical="center"/>
    </xf>
    <xf numFmtId="171" fontId="11" fillId="4" borderId="5" xfId="0" applyNumberFormat="1" applyFont="1" applyFill="1" applyBorder="1" applyAlignment="1" applyProtection="1">
      <alignment vertical="center"/>
    </xf>
    <xf numFmtId="0" fontId="3" fillId="2" borderId="5" xfId="0" applyFont="1" applyFill="1" applyBorder="1" applyAlignment="1" applyProtection="1">
      <alignment horizontal="center" vertical="center" wrapText="1"/>
    </xf>
    <xf numFmtId="171" fontId="3" fillId="5" borderId="5" xfId="0" applyNumberFormat="1" applyFont="1" applyFill="1" applyBorder="1" applyAlignment="1" applyProtection="1">
      <alignment vertical="center"/>
    </xf>
    <xf numFmtId="0" fontId="0" fillId="0" borderId="0" xfId="0" applyFill="1"/>
    <xf numFmtId="0" fontId="3" fillId="2" borderId="6" xfId="0" applyFont="1" applyFill="1" applyBorder="1" applyAlignment="1" applyProtection="1">
      <alignment horizontal="center" vertical="center" wrapText="1"/>
    </xf>
    <xf numFmtId="0" fontId="0" fillId="0" borderId="0" xfId="0" applyBorder="1" applyProtection="1"/>
    <xf numFmtId="171" fontId="11" fillId="4" borderId="6" xfId="0" applyNumberFormat="1" applyFont="1" applyFill="1" applyBorder="1" applyAlignment="1" applyProtection="1">
      <alignment vertical="center"/>
    </xf>
    <xf numFmtId="171" fontId="3" fillId="5" borderId="6" xfId="0" applyNumberFormat="1" applyFont="1" applyFill="1" applyBorder="1" applyAlignment="1" applyProtection="1">
      <alignment vertical="center"/>
    </xf>
    <xf numFmtId="0" fontId="3" fillId="5" borderId="7" xfId="0" applyFont="1" applyFill="1" applyBorder="1" applyAlignment="1" applyProtection="1">
      <alignment horizontal="center" vertical="center"/>
    </xf>
    <xf numFmtId="0" fontId="3" fillId="5" borderId="8" xfId="0" applyFont="1" applyFill="1" applyBorder="1" applyAlignment="1" applyProtection="1">
      <alignment horizontal="center" vertical="center" wrapText="1"/>
    </xf>
    <xf numFmtId="0" fontId="3" fillId="5" borderId="9" xfId="0" applyFont="1" applyFill="1" applyBorder="1" applyAlignment="1" applyProtection="1">
      <alignment horizontal="center" vertical="center" wrapText="1"/>
    </xf>
    <xf numFmtId="0" fontId="3" fillId="5" borderId="10" xfId="0" applyFont="1" applyFill="1" applyBorder="1" applyAlignment="1" applyProtection="1">
      <alignment horizontal="center" vertical="center" wrapText="1"/>
    </xf>
    <xf numFmtId="0" fontId="3" fillId="5" borderId="11" xfId="0" applyFont="1" applyFill="1" applyBorder="1" applyAlignment="1" applyProtection="1">
      <alignment horizontal="center" vertical="center"/>
    </xf>
    <xf numFmtId="0" fontId="3" fillId="5" borderId="12" xfId="0" applyFont="1" applyFill="1" applyBorder="1" applyAlignment="1" applyProtection="1">
      <alignment horizontal="center" vertical="center" wrapText="1"/>
    </xf>
    <xf numFmtId="0" fontId="3" fillId="5" borderId="13" xfId="0" applyFont="1" applyFill="1" applyBorder="1" applyAlignment="1" applyProtection="1">
      <alignment horizontal="center" vertical="center" wrapText="1"/>
    </xf>
    <xf numFmtId="0" fontId="3" fillId="5" borderId="14" xfId="0" applyFont="1" applyFill="1" applyBorder="1" applyAlignment="1" applyProtection="1">
      <alignment horizontal="center" vertical="center"/>
    </xf>
    <xf numFmtId="0" fontId="3" fillId="5" borderId="3" xfId="0" applyFont="1" applyFill="1" applyBorder="1" applyAlignment="1" applyProtection="1">
      <alignment horizontal="center" vertical="center" wrapText="1"/>
    </xf>
    <xf numFmtId="0" fontId="3" fillId="5" borderId="15" xfId="0" applyFont="1" applyFill="1" applyBorder="1" applyAlignment="1" applyProtection="1">
      <alignment horizontal="center" vertical="center" wrapText="1"/>
    </xf>
    <xf numFmtId="0" fontId="3" fillId="5" borderId="16" xfId="0" applyFont="1" applyFill="1" applyBorder="1" applyAlignment="1" applyProtection="1">
      <alignment horizontal="center" vertical="center" wrapText="1"/>
    </xf>
    <xf numFmtId="0" fontId="3" fillId="5" borderId="17" xfId="0" applyFont="1" applyFill="1" applyBorder="1" applyAlignment="1" applyProtection="1">
      <alignment horizontal="center" vertical="center" wrapText="1"/>
    </xf>
    <xf numFmtId="0" fontId="3" fillId="0" borderId="0" xfId="0" applyFont="1" applyProtection="1"/>
    <xf numFmtId="0" fontId="8" fillId="0" borderId="0" xfId="0" applyFont="1" applyProtection="1"/>
    <xf numFmtId="0" fontId="8" fillId="0" borderId="0" xfId="0" applyFont="1" applyFill="1" applyBorder="1" applyProtection="1"/>
    <xf numFmtId="9" fontId="0" fillId="0" borderId="0" xfId="0" applyNumberFormat="1" applyProtection="1"/>
    <xf numFmtId="0" fontId="4" fillId="4" borderId="18" xfId="0" applyFont="1" applyFill="1" applyBorder="1" applyProtection="1"/>
    <xf numFmtId="0" fontId="0" fillId="4" borderId="19" xfId="0" applyFill="1" applyBorder="1" applyProtection="1"/>
    <xf numFmtId="0" fontId="4" fillId="4" borderId="18" xfId="0" applyFont="1" applyFill="1" applyBorder="1" applyAlignment="1" applyProtection="1">
      <alignment vertical="center"/>
    </xf>
    <xf numFmtId="0" fontId="4" fillId="4" borderId="19" xfId="0" applyFont="1" applyFill="1" applyBorder="1" applyAlignment="1" applyProtection="1">
      <alignment vertical="center"/>
    </xf>
    <xf numFmtId="0" fontId="0" fillId="4" borderId="19" xfId="0" applyFill="1" applyBorder="1" applyAlignment="1" applyProtection="1">
      <alignment vertical="center"/>
    </xf>
    <xf numFmtId="0" fontId="4" fillId="4" borderId="20" xfId="0" applyFont="1" applyFill="1" applyBorder="1" applyProtection="1"/>
    <xf numFmtId="0" fontId="4" fillId="4" borderId="0" xfId="0" applyFont="1" applyFill="1" applyBorder="1" applyProtection="1"/>
    <xf numFmtId="0" fontId="0" fillId="4" borderId="0" xfId="0" applyFill="1" applyBorder="1" applyProtection="1"/>
    <xf numFmtId="0" fontId="5" fillId="4" borderId="20" xfId="0" applyFont="1" applyFill="1" applyBorder="1" applyProtection="1"/>
    <xf numFmtId="0" fontId="5" fillId="4" borderId="0" xfId="0" applyFont="1" applyFill="1" applyBorder="1" applyProtection="1"/>
    <xf numFmtId="165" fontId="9" fillId="4" borderId="0" xfId="3" applyNumberFormat="1" applyFont="1" applyFill="1" applyBorder="1" applyProtection="1"/>
    <xf numFmtId="0" fontId="0" fillId="0" borderId="20" xfId="0" applyBorder="1" applyProtection="1"/>
    <xf numFmtId="165" fontId="0" fillId="0" borderId="0" xfId="3" applyNumberFormat="1" applyFont="1" applyBorder="1" applyProtection="1"/>
    <xf numFmtId="0" fontId="0" fillId="4" borderId="20" xfId="0" applyFill="1" applyBorder="1" applyProtection="1"/>
    <xf numFmtId="0" fontId="8" fillId="4" borderId="20" xfId="0" applyFont="1" applyFill="1" applyBorder="1" applyProtection="1"/>
    <xf numFmtId="0" fontId="6" fillId="0" borderId="20" xfId="0" applyFont="1" applyFill="1" applyBorder="1" applyProtection="1"/>
    <xf numFmtId="0" fontId="6" fillId="0" borderId="0" xfId="0" applyFont="1" applyFill="1" applyBorder="1" applyProtection="1"/>
    <xf numFmtId="0" fontId="6" fillId="3" borderId="3" xfId="0" applyFont="1" applyFill="1" applyBorder="1" applyProtection="1"/>
    <xf numFmtId="0" fontId="6" fillId="3" borderId="4" xfId="0" applyFont="1" applyFill="1" applyBorder="1" applyProtection="1"/>
    <xf numFmtId="10" fontId="0" fillId="0" borderId="0" xfId="0" applyNumberFormat="1" applyProtection="1"/>
    <xf numFmtId="0" fontId="13" fillId="0" borderId="21" xfId="0" applyFont="1" applyBorder="1" applyAlignment="1">
      <alignment wrapText="1"/>
    </xf>
    <xf numFmtId="0" fontId="15" fillId="0" borderId="1" xfId="0" applyFont="1" applyBorder="1" applyAlignment="1">
      <alignment wrapText="1"/>
    </xf>
    <xf numFmtId="0" fontId="14" fillId="0" borderId="1" xfId="0" applyFont="1" applyBorder="1" applyAlignment="1">
      <alignment wrapText="1"/>
    </xf>
    <xf numFmtId="0" fontId="14" fillId="0" borderId="22" xfId="0" applyFont="1" applyBorder="1" applyAlignment="1">
      <alignment wrapText="1"/>
    </xf>
    <xf numFmtId="0" fontId="0" fillId="0" borderId="1" xfId="0" applyBorder="1"/>
    <xf numFmtId="164" fontId="0" fillId="0" borderId="23" xfId="0" applyNumberFormat="1" applyBorder="1" applyAlignment="1">
      <alignment horizontal="center" vertical="center"/>
    </xf>
    <xf numFmtId="0" fontId="0" fillId="0" borderId="23" xfId="0" applyBorder="1" applyAlignment="1">
      <alignment horizontal="center" vertical="center"/>
    </xf>
    <xf numFmtId="0" fontId="8" fillId="0" borderId="23" xfId="0" applyFont="1" applyBorder="1" applyAlignment="1">
      <alignment vertical="center" wrapText="1"/>
    </xf>
    <xf numFmtId="49" fontId="0" fillId="0" borderId="0" xfId="0" applyNumberFormat="1"/>
    <xf numFmtId="49" fontId="8" fillId="0" borderId="23" xfId="0" applyNumberFormat="1" applyFont="1" applyBorder="1" applyAlignment="1">
      <alignment horizontal="center" vertical="center"/>
    </xf>
    <xf numFmtId="0" fontId="0" fillId="6" borderId="24" xfId="0" applyFill="1" applyBorder="1" applyAlignment="1" applyProtection="1">
      <alignment vertical="center"/>
      <protection locked="0"/>
    </xf>
    <xf numFmtId="167" fontId="0" fillId="6" borderId="25" xfId="0" applyNumberFormat="1" applyFill="1" applyBorder="1" applyAlignment="1" applyProtection="1">
      <alignment vertical="center"/>
      <protection locked="0"/>
    </xf>
    <xf numFmtId="1" fontId="0" fillId="6" borderId="25" xfId="0" applyNumberFormat="1" applyFill="1" applyBorder="1" applyAlignment="1" applyProtection="1">
      <alignment vertical="center"/>
      <protection locked="0"/>
    </xf>
    <xf numFmtId="0" fontId="0" fillId="6" borderId="26" xfId="0" applyFill="1" applyBorder="1" applyAlignment="1" applyProtection="1">
      <alignment vertical="center"/>
      <protection locked="0"/>
    </xf>
    <xf numFmtId="167" fontId="0" fillId="6" borderId="27" xfId="0" applyNumberFormat="1" applyFill="1" applyBorder="1" applyAlignment="1" applyProtection="1">
      <alignment vertical="center"/>
      <protection locked="0"/>
    </xf>
    <xf numFmtId="1" fontId="0" fillId="6" borderId="27" xfId="0" applyNumberFormat="1" applyFill="1" applyBorder="1" applyAlignment="1" applyProtection="1">
      <alignment vertical="center"/>
      <protection locked="0"/>
    </xf>
    <xf numFmtId="0" fontId="0" fillId="6" borderId="28" xfId="0" applyFill="1" applyBorder="1" applyAlignment="1" applyProtection="1">
      <alignment vertical="center"/>
      <protection locked="0"/>
    </xf>
    <xf numFmtId="1" fontId="0" fillId="6" borderId="29" xfId="0" applyNumberFormat="1" applyFill="1" applyBorder="1" applyAlignment="1" applyProtection="1">
      <alignment vertical="center"/>
      <protection locked="0"/>
    </xf>
    <xf numFmtId="0" fontId="0" fillId="6" borderId="30" xfId="0" applyFill="1" applyBorder="1" applyAlignment="1" applyProtection="1">
      <alignment vertical="center"/>
      <protection locked="0"/>
    </xf>
    <xf numFmtId="167" fontId="0" fillId="6" borderId="31" xfId="0" applyNumberFormat="1" applyFill="1" applyBorder="1" applyAlignment="1" applyProtection="1">
      <alignment vertical="center"/>
      <protection locked="0"/>
    </xf>
    <xf numFmtId="1" fontId="0" fillId="6" borderId="31" xfId="0" applyNumberFormat="1" applyFill="1" applyBorder="1" applyAlignment="1" applyProtection="1">
      <alignment vertical="center"/>
      <protection locked="0"/>
    </xf>
    <xf numFmtId="1" fontId="0" fillId="6" borderId="30" xfId="0" applyNumberFormat="1" applyFill="1" applyBorder="1" applyAlignment="1" applyProtection="1">
      <alignment vertical="center"/>
      <protection locked="0"/>
    </xf>
    <xf numFmtId="170" fontId="0" fillId="6" borderId="32" xfId="0" applyNumberFormat="1" applyFill="1" applyBorder="1" applyAlignment="1" applyProtection="1">
      <alignment vertical="center"/>
      <protection locked="0"/>
    </xf>
    <xf numFmtId="1" fontId="8" fillId="6" borderId="31" xfId="0" applyNumberFormat="1" applyFont="1" applyFill="1" applyBorder="1" applyAlignment="1" applyProtection="1">
      <alignment vertical="center"/>
      <protection locked="0"/>
    </xf>
    <xf numFmtId="1" fontId="11" fillId="6" borderId="5" xfId="0" applyNumberFormat="1" applyFont="1" applyFill="1" applyBorder="1" applyAlignment="1" applyProtection="1">
      <alignment vertical="center"/>
      <protection locked="0"/>
    </xf>
    <xf numFmtId="0" fontId="3" fillId="6" borderId="5" xfId="0" applyFont="1" applyFill="1" applyBorder="1" applyAlignment="1" applyProtection="1">
      <alignment vertical="center"/>
      <protection locked="0"/>
    </xf>
    <xf numFmtId="1" fontId="3" fillId="6" borderId="5" xfId="0" applyNumberFormat="1" applyFont="1" applyFill="1" applyBorder="1" applyAlignment="1" applyProtection="1">
      <alignment vertical="center"/>
      <protection locked="0"/>
    </xf>
    <xf numFmtId="0" fontId="0" fillId="6" borderId="33" xfId="0" applyFill="1" applyBorder="1" applyAlignment="1" applyProtection="1">
      <alignment vertical="center"/>
      <protection locked="0"/>
    </xf>
    <xf numFmtId="167" fontId="0" fillId="6" borderId="23" xfId="0" applyNumberFormat="1" applyFill="1" applyBorder="1" applyAlignment="1" applyProtection="1">
      <alignment vertical="center"/>
      <protection locked="0"/>
    </xf>
    <xf numFmtId="0" fontId="0" fillId="6" borderId="34" xfId="0" applyFill="1" applyBorder="1" applyAlignment="1" applyProtection="1">
      <alignment vertical="center"/>
      <protection locked="0"/>
    </xf>
    <xf numFmtId="0" fontId="0" fillId="6" borderId="35" xfId="0" applyFill="1" applyBorder="1" applyAlignment="1" applyProtection="1">
      <alignment vertical="center"/>
      <protection locked="0"/>
    </xf>
    <xf numFmtId="167" fontId="0" fillId="6" borderId="36" xfId="0" applyNumberFormat="1" applyFill="1" applyBorder="1" applyAlignment="1" applyProtection="1">
      <alignment vertical="center"/>
      <protection locked="0"/>
    </xf>
    <xf numFmtId="165" fontId="17" fillId="7" borderId="4" xfId="3" applyNumberFormat="1" applyFont="1" applyFill="1" applyBorder="1" applyProtection="1"/>
    <xf numFmtId="165" fontId="9" fillId="8" borderId="4" xfId="3" applyNumberFormat="1" applyFont="1" applyFill="1" applyBorder="1" applyProtection="1"/>
    <xf numFmtId="0" fontId="16" fillId="3" borderId="14" xfId="0" applyFont="1" applyFill="1" applyBorder="1" applyProtection="1"/>
    <xf numFmtId="0" fontId="16" fillId="3" borderId="37" xfId="0" applyFont="1" applyFill="1" applyBorder="1" applyProtection="1"/>
    <xf numFmtId="0" fontId="16" fillId="0" borderId="20" xfId="0" applyFont="1" applyFill="1" applyBorder="1" applyProtection="1"/>
    <xf numFmtId="0" fontId="16" fillId="7" borderId="14" xfId="0" applyFont="1" applyFill="1" applyBorder="1" applyProtection="1"/>
    <xf numFmtId="0" fontId="6" fillId="7" borderId="3" xfId="0" applyFont="1" applyFill="1" applyBorder="1" applyProtection="1"/>
    <xf numFmtId="165" fontId="17" fillId="7" borderId="3" xfId="3" applyNumberFormat="1" applyFont="1" applyFill="1" applyBorder="1" applyProtection="1"/>
    <xf numFmtId="0" fontId="16" fillId="7" borderId="37" xfId="0" applyFont="1" applyFill="1" applyBorder="1" applyProtection="1"/>
    <xf numFmtId="0" fontId="6" fillId="7" borderId="4" xfId="0" applyFont="1" applyFill="1" applyBorder="1" applyProtection="1"/>
    <xf numFmtId="0" fontId="16" fillId="8" borderId="14" xfId="0" applyFont="1" applyFill="1" applyBorder="1" applyProtection="1"/>
    <xf numFmtId="0" fontId="6" fillId="8" borderId="3" xfId="0" applyFont="1" applyFill="1" applyBorder="1" applyProtection="1"/>
    <xf numFmtId="165" fontId="9" fillId="8" borderId="3" xfId="3" applyNumberFormat="1" applyFont="1" applyFill="1" applyBorder="1" applyProtection="1"/>
    <xf numFmtId="0" fontId="16" fillId="8" borderId="37" xfId="0" applyFont="1" applyFill="1" applyBorder="1" applyProtection="1"/>
    <xf numFmtId="0" fontId="6" fillId="8" borderId="4" xfId="0" applyFont="1" applyFill="1" applyBorder="1" applyProtection="1"/>
    <xf numFmtId="0" fontId="36" fillId="9" borderId="14" xfId="0" applyFont="1" applyFill="1" applyBorder="1" applyProtection="1"/>
    <xf numFmtId="0" fontId="37" fillId="9" borderId="3" xfId="0" applyFont="1" applyFill="1" applyBorder="1" applyProtection="1"/>
    <xf numFmtId="0" fontId="36" fillId="9" borderId="37" xfId="0" applyFont="1" applyFill="1" applyBorder="1" applyProtection="1"/>
    <xf numFmtId="0" fontId="37" fillId="9" borderId="4" xfId="0" applyFont="1" applyFill="1" applyBorder="1" applyProtection="1"/>
    <xf numFmtId="0" fontId="37" fillId="10" borderId="14" xfId="0" applyFont="1" applyFill="1" applyBorder="1" applyProtection="1"/>
    <xf numFmtId="0" fontId="37" fillId="10" borderId="3" xfId="0" applyFont="1" applyFill="1" applyBorder="1" applyProtection="1"/>
    <xf numFmtId="165" fontId="37" fillId="10" borderId="3" xfId="3" applyNumberFormat="1" applyFont="1" applyFill="1" applyBorder="1" applyProtection="1"/>
    <xf numFmtId="0" fontId="36" fillId="10" borderId="37" xfId="0" applyFont="1" applyFill="1" applyBorder="1" applyProtection="1"/>
    <xf numFmtId="0" fontId="37" fillId="10" borderId="4" xfId="0" applyFont="1" applyFill="1" applyBorder="1" applyProtection="1"/>
    <xf numFmtId="165" fontId="37" fillId="10" borderId="4" xfId="3" applyNumberFormat="1" applyFont="1" applyFill="1" applyBorder="1" applyProtection="1"/>
    <xf numFmtId="0" fontId="16" fillId="11" borderId="14" xfId="0" applyFont="1" applyFill="1" applyBorder="1" applyProtection="1"/>
    <xf numFmtId="0" fontId="6" fillId="11" borderId="3" xfId="0" applyFont="1" applyFill="1" applyBorder="1" applyProtection="1"/>
    <xf numFmtId="165" fontId="9" fillId="11" borderId="3" xfId="3" applyNumberFormat="1" applyFont="1" applyFill="1" applyBorder="1" applyProtection="1"/>
    <xf numFmtId="0" fontId="16" fillId="11" borderId="37" xfId="0" applyFont="1" applyFill="1" applyBorder="1" applyProtection="1"/>
    <xf numFmtId="0" fontId="6" fillId="11" borderId="4" xfId="0" applyFont="1" applyFill="1" applyBorder="1" applyProtection="1"/>
    <xf numFmtId="165" fontId="9" fillId="11" borderId="4" xfId="3" applyNumberFormat="1" applyFont="1" applyFill="1" applyBorder="1" applyProtection="1"/>
    <xf numFmtId="0" fontId="18" fillId="4" borderId="37" xfId="0" applyFont="1" applyFill="1" applyBorder="1" applyProtection="1"/>
    <xf numFmtId="0" fontId="18" fillId="4" borderId="4" xfId="0" applyFont="1" applyFill="1" applyBorder="1" applyProtection="1"/>
    <xf numFmtId="0" fontId="18" fillId="4" borderId="20" xfId="0" applyFont="1" applyFill="1" applyBorder="1" applyProtection="1"/>
    <xf numFmtId="0" fontId="18" fillId="4" borderId="0" xfId="0" applyFont="1" applyFill="1" applyBorder="1" applyProtection="1"/>
    <xf numFmtId="165" fontId="38" fillId="9" borderId="3" xfId="3" applyNumberFormat="1" applyFont="1" applyFill="1" applyBorder="1" applyProtection="1"/>
    <xf numFmtId="165" fontId="38" fillId="9" borderId="4" xfId="3" applyNumberFormat="1" applyFont="1" applyFill="1" applyBorder="1" applyProtection="1"/>
    <xf numFmtId="2" fontId="3" fillId="0" borderId="0" xfId="0" applyNumberFormat="1" applyFont="1" applyAlignment="1" applyProtection="1"/>
    <xf numFmtId="0" fontId="16" fillId="12" borderId="14" xfId="0" applyFont="1" applyFill="1" applyBorder="1" applyProtection="1"/>
    <xf numFmtId="0" fontId="6" fillId="12" borderId="3" xfId="0" applyFont="1" applyFill="1" applyBorder="1" applyProtection="1"/>
    <xf numFmtId="165" fontId="9" fillId="8" borderId="0" xfId="3" applyNumberFormat="1" applyFont="1" applyFill="1" applyBorder="1" applyProtection="1"/>
    <xf numFmtId="0" fontId="16" fillId="12" borderId="20" xfId="0" applyFont="1" applyFill="1" applyBorder="1" applyProtection="1"/>
    <xf numFmtId="0" fontId="6" fillId="12" borderId="0" xfId="0" applyFont="1" applyFill="1" applyBorder="1" applyProtection="1"/>
    <xf numFmtId="0" fontId="8" fillId="0" borderId="0" xfId="0" applyFont="1"/>
    <xf numFmtId="0" fontId="0" fillId="0" borderId="23" xfId="0" applyBorder="1"/>
    <xf numFmtId="0" fontId="24" fillId="0" borderId="0" xfId="0" applyFont="1"/>
    <xf numFmtId="0" fontId="3" fillId="0" borderId="23" xfId="0" applyFont="1" applyBorder="1" applyAlignment="1">
      <alignment wrapText="1"/>
    </xf>
    <xf numFmtId="1" fontId="0" fillId="4" borderId="19" xfId="0" applyNumberFormat="1" applyFill="1" applyBorder="1" applyProtection="1"/>
    <xf numFmtId="0" fontId="13" fillId="0" borderId="0" xfId="0" applyFont="1" applyAlignment="1">
      <alignment vertical="center"/>
    </xf>
    <xf numFmtId="0" fontId="8" fillId="0" borderId="23" xfId="0" applyFont="1" applyBorder="1" applyAlignment="1">
      <alignment horizontal="center" vertical="center" wrapText="1"/>
    </xf>
    <xf numFmtId="0" fontId="6" fillId="12" borderId="0" xfId="0" applyFont="1" applyFill="1" applyBorder="1" applyAlignment="1" applyProtection="1">
      <alignment wrapText="1"/>
    </xf>
    <xf numFmtId="0" fontId="8" fillId="6" borderId="23" xfId="0" applyFont="1" applyFill="1" applyBorder="1" applyAlignment="1" applyProtection="1">
      <alignment horizontal="right" vertical="center"/>
      <protection locked="0"/>
    </xf>
    <xf numFmtId="0" fontId="8" fillId="6" borderId="23" xfId="0" applyNumberFormat="1" applyFont="1" applyFill="1" applyBorder="1" applyAlignment="1" applyProtection="1">
      <alignment horizontal="right" vertical="center"/>
      <protection locked="0"/>
    </xf>
    <xf numFmtId="0" fontId="0" fillId="0" borderId="0" xfId="0" applyBorder="1"/>
    <xf numFmtId="0" fontId="0" fillId="0" borderId="34" xfId="0" applyBorder="1"/>
    <xf numFmtId="0" fontId="0" fillId="0" borderId="39" xfId="0" applyBorder="1"/>
    <xf numFmtId="1" fontId="0" fillId="0" borderId="40" xfId="0" applyNumberFormat="1" applyBorder="1"/>
    <xf numFmtId="1" fontId="0" fillId="0" borderId="38" xfId="0" applyNumberFormat="1" applyBorder="1"/>
    <xf numFmtId="0" fontId="0" fillId="0" borderId="38" xfId="0" applyBorder="1"/>
    <xf numFmtId="0" fontId="0" fillId="0" borderId="40" xfId="0" applyBorder="1"/>
    <xf numFmtId="41" fontId="0" fillId="0" borderId="0" xfId="0" applyNumberFormat="1" applyProtection="1"/>
    <xf numFmtId="41" fontId="8" fillId="13" borderId="0" xfId="0" applyNumberFormat="1" applyFont="1" applyFill="1" applyProtection="1"/>
    <xf numFmtId="165" fontId="0" fillId="0" borderId="1" xfId="3" applyNumberFormat="1" applyFont="1" applyBorder="1" applyProtection="1"/>
    <xf numFmtId="165" fontId="9" fillId="4" borderId="1" xfId="3" applyNumberFormat="1" applyFont="1" applyFill="1" applyBorder="1" applyProtection="1"/>
    <xf numFmtId="165" fontId="0" fillId="0" borderId="1" xfId="3" applyNumberFormat="1" applyFont="1" applyFill="1" applyBorder="1" applyProtection="1"/>
    <xf numFmtId="165" fontId="9" fillId="11" borderId="41" xfId="3" applyNumberFormat="1" applyFont="1" applyFill="1" applyBorder="1" applyProtection="1"/>
    <xf numFmtId="165" fontId="9" fillId="11" borderId="42" xfId="3" applyNumberFormat="1" applyFont="1" applyFill="1" applyBorder="1" applyProtection="1"/>
    <xf numFmtId="165" fontId="9" fillId="3" borderId="41" xfId="3" applyNumberFormat="1" applyFont="1" applyFill="1" applyBorder="1" applyProtection="1"/>
    <xf numFmtId="165" fontId="9" fillId="3" borderId="42" xfId="3" applyNumberFormat="1" applyFont="1" applyFill="1" applyBorder="1" applyProtection="1"/>
    <xf numFmtId="165" fontId="38" fillId="9" borderId="41" xfId="3" applyNumberFormat="1" applyFont="1" applyFill="1" applyBorder="1" applyProtection="1"/>
    <xf numFmtId="165" fontId="38" fillId="9" borderId="42" xfId="3" applyNumberFormat="1" applyFont="1" applyFill="1" applyBorder="1" applyProtection="1"/>
    <xf numFmtId="165" fontId="37" fillId="10" borderId="41" xfId="3" applyNumberFormat="1" applyFont="1" applyFill="1" applyBorder="1" applyProtection="1"/>
    <xf numFmtId="165" fontId="37" fillId="10" borderId="42" xfId="3" applyNumberFormat="1" applyFont="1" applyFill="1" applyBorder="1" applyProtection="1"/>
    <xf numFmtId="0" fontId="0" fillId="0" borderId="1" xfId="0" applyBorder="1" applyProtection="1"/>
    <xf numFmtId="0" fontId="0" fillId="4" borderId="43" xfId="0" applyFill="1" applyBorder="1" applyProtection="1"/>
    <xf numFmtId="0" fontId="0" fillId="4" borderId="43" xfId="0" applyFill="1" applyBorder="1" applyAlignment="1" applyProtection="1">
      <alignment vertical="center"/>
    </xf>
    <xf numFmtId="0" fontId="0" fillId="4" borderId="1" xfId="0" applyFill="1" applyBorder="1" applyProtection="1"/>
    <xf numFmtId="0" fontId="25" fillId="0" borderId="38" xfId="19" applyBorder="1"/>
    <xf numFmtId="0" fontId="25" fillId="0" borderId="0" xfId="19" applyBorder="1"/>
    <xf numFmtId="0" fontId="0" fillId="0" borderId="44" xfId="0" applyBorder="1"/>
    <xf numFmtId="0" fontId="8" fillId="0" borderId="0" xfId="0" applyFont="1" applyBorder="1"/>
    <xf numFmtId="0" fontId="28" fillId="14" borderId="45" xfId="0" applyFont="1" applyFill="1" applyBorder="1" applyAlignment="1" applyProtection="1">
      <alignment vertical="center" wrapText="1"/>
    </xf>
    <xf numFmtId="0" fontId="3" fillId="5" borderId="23" xfId="0" applyFont="1" applyFill="1" applyBorder="1" applyProtection="1"/>
    <xf numFmtId="0" fontId="3" fillId="4" borderId="21" xfId="0" applyFont="1" applyFill="1" applyBorder="1"/>
    <xf numFmtId="1" fontId="3" fillId="0" borderId="0" xfId="0" applyNumberFormat="1" applyFont="1" applyFill="1" applyBorder="1" applyAlignment="1" applyProtection="1">
      <alignment vertical="center" wrapText="1"/>
    </xf>
    <xf numFmtId="1" fontId="3" fillId="14" borderId="23" xfId="0" applyNumberFormat="1" applyFont="1" applyFill="1" applyBorder="1" applyAlignment="1" applyProtection="1">
      <alignment horizontal="right" vertical="center" wrapText="1"/>
    </xf>
    <xf numFmtId="2" fontId="0" fillId="6" borderId="23" xfId="0" applyNumberFormat="1" applyFill="1" applyBorder="1" applyAlignment="1" applyProtection="1">
      <alignment horizontal="right" vertical="center"/>
      <protection locked="0"/>
    </xf>
    <xf numFmtId="9" fontId="0" fillId="0" borderId="0" xfId="0" applyNumberFormat="1"/>
    <xf numFmtId="0" fontId="4" fillId="0" borderId="18" xfId="0" applyFont="1" applyFill="1" applyBorder="1" applyProtection="1"/>
    <xf numFmtId="0" fontId="6" fillId="0" borderId="19" xfId="0" applyFont="1" applyFill="1" applyBorder="1" applyProtection="1"/>
    <xf numFmtId="166" fontId="0" fillId="0" borderId="19" xfId="3" applyNumberFormat="1" applyFont="1" applyFill="1" applyBorder="1" applyProtection="1"/>
    <xf numFmtId="0" fontId="0" fillId="0" borderId="46" xfId="0" applyBorder="1"/>
    <xf numFmtId="41" fontId="9" fillId="13" borderId="0" xfId="3" applyNumberFormat="1" applyFont="1" applyFill="1" applyBorder="1" applyProtection="1"/>
    <xf numFmtId="0" fontId="3" fillId="4" borderId="34" xfId="0" applyFont="1" applyFill="1" applyBorder="1"/>
    <xf numFmtId="171" fontId="0" fillId="0" borderId="47" xfId="0" applyNumberFormat="1" applyBorder="1" applyAlignment="1" applyProtection="1">
      <alignment vertical="center"/>
    </xf>
    <xf numFmtId="171" fontId="0" fillId="0" borderId="48" xfId="0" applyNumberFormat="1" applyBorder="1" applyAlignment="1" applyProtection="1">
      <alignment vertical="center"/>
    </xf>
    <xf numFmtId="171" fontId="0" fillId="0" borderId="32" xfId="0" applyNumberFormat="1" applyBorder="1" applyAlignment="1" applyProtection="1">
      <alignment vertical="center"/>
    </xf>
    <xf numFmtId="0" fontId="0" fillId="0" borderId="40" xfId="0" applyBorder="1" applyProtection="1"/>
    <xf numFmtId="0" fontId="0" fillId="0" borderId="46" xfId="0" applyBorder="1" applyAlignment="1" applyProtection="1">
      <alignment wrapText="1"/>
    </xf>
    <xf numFmtId="0" fontId="0" fillId="0" borderId="34" xfId="0" applyBorder="1" applyProtection="1"/>
    <xf numFmtId="0" fontId="0" fillId="0" borderId="49" xfId="0" applyBorder="1" applyProtection="1"/>
    <xf numFmtId="0" fontId="0" fillId="0" borderId="44" xfId="0" applyBorder="1" applyProtection="1"/>
    <xf numFmtId="0" fontId="0" fillId="0" borderId="50" xfId="0" applyBorder="1" applyProtection="1"/>
    <xf numFmtId="0" fontId="3" fillId="5" borderId="0" xfId="0" applyFont="1" applyFill="1" applyBorder="1" applyAlignment="1">
      <alignment horizontal="right" vertical="center"/>
    </xf>
    <xf numFmtId="0" fontId="3" fillId="5" borderId="39" xfId="0" applyFont="1" applyFill="1" applyBorder="1" applyAlignment="1">
      <alignment horizontal="right" vertical="center"/>
    </xf>
    <xf numFmtId="0" fontId="3" fillId="4" borderId="40" xfId="0" applyFont="1" applyFill="1" applyBorder="1"/>
    <xf numFmtId="0" fontId="4" fillId="4" borderId="0" xfId="0" applyFont="1" applyFill="1" applyBorder="1"/>
    <xf numFmtId="0" fontId="8" fillId="4" borderId="46" xfId="0" applyFont="1" applyFill="1" applyBorder="1"/>
    <xf numFmtId="0" fontId="8" fillId="4" borderId="34" xfId="0" applyFont="1" applyFill="1" applyBorder="1"/>
    <xf numFmtId="0" fontId="8" fillId="4" borderId="0" xfId="0" applyFont="1" applyFill="1" applyBorder="1"/>
    <xf numFmtId="0" fontId="8" fillId="4" borderId="39" xfId="0" applyFont="1" applyFill="1" applyBorder="1"/>
    <xf numFmtId="42" fontId="8" fillId="0" borderId="0" xfId="0" applyNumberFormat="1" applyFont="1" applyBorder="1" applyAlignment="1">
      <alignment horizontal="right" vertical="center"/>
    </xf>
    <xf numFmtId="42" fontId="8" fillId="0" borderId="39" xfId="0" applyNumberFormat="1" applyFont="1" applyBorder="1" applyAlignment="1">
      <alignment horizontal="right" vertical="center"/>
    </xf>
    <xf numFmtId="42" fontId="8" fillId="0" borderId="44" xfId="0" applyNumberFormat="1" applyFont="1" applyBorder="1" applyAlignment="1">
      <alignment horizontal="right" vertical="center"/>
    </xf>
    <xf numFmtId="42" fontId="8" fillId="0" borderId="50" xfId="0" applyNumberFormat="1" applyFont="1" applyBorder="1" applyAlignment="1">
      <alignment horizontal="right" vertical="center"/>
    </xf>
    <xf numFmtId="0" fontId="4" fillId="4" borderId="0" xfId="0" applyFont="1" applyFill="1" applyBorder="1" applyAlignment="1">
      <alignment vertical="center"/>
    </xf>
    <xf numFmtId="42" fontId="3" fillId="4" borderId="0" xfId="0" applyNumberFormat="1" applyFont="1" applyFill="1" applyBorder="1" applyAlignment="1">
      <alignment vertical="center"/>
    </xf>
    <xf numFmtId="42" fontId="8" fillId="15" borderId="0" xfId="0" applyNumberFormat="1" applyFont="1" applyFill="1" applyBorder="1" applyAlignment="1">
      <alignment vertical="center"/>
    </xf>
    <xf numFmtId="42" fontId="8" fillId="0" borderId="0" xfId="0" applyNumberFormat="1" applyFont="1" applyBorder="1" applyAlignment="1">
      <alignment vertical="center"/>
    </xf>
    <xf numFmtId="42" fontId="4" fillId="0" borderId="0" xfId="0" applyNumberFormat="1" applyFont="1" applyBorder="1" applyAlignment="1">
      <alignment vertical="center"/>
    </xf>
    <xf numFmtId="42" fontId="4" fillId="4" borderId="0" xfId="0" applyNumberFormat="1" applyFont="1" applyFill="1" applyBorder="1" applyAlignment="1">
      <alignment vertical="center"/>
    </xf>
    <xf numFmtId="42" fontId="8" fillId="0" borderId="44" xfId="0" applyNumberFormat="1" applyFont="1" applyBorder="1" applyAlignment="1">
      <alignment vertical="center"/>
    </xf>
    <xf numFmtId="0" fontId="3" fillId="4" borderId="0" xfId="19" applyFont="1" applyFill="1"/>
    <xf numFmtId="0" fontId="35" fillId="4" borderId="0" xfId="19" applyFont="1" applyFill="1"/>
    <xf numFmtId="0" fontId="8" fillId="4" borderId="38" xfId="19" applyFont="1" applyFill="1" applyBorder="1"/>
    <xf numFmtId="0" fontId="8" fillId="4" borderId="0" xfId="19" applyFont="1" applyFill="1" applyBorder="1"/>
    <xf numFmtId="0" fontId="8" fillId="0" borderId="23" xfId="0" applyFont="1" applyFill="1" applyBorder="1" applyAlignment="1" applyProtection="1">
      <alignment vertical="center"/>
    </xf>
    <xf numFmtId="0" fontId="15" fillId="0" borderId="0" xfId="0" applyFont="1"/>
    <xf numFmtId="0" fontId="13" fillId="0" borderId="5" xfId="0" applyFont="1" applyBorder="1" applyAlignment="1">
      <alignment horizontal="left" vertical="center"/>
    </xf>
    <xf numFmtId="1" fontId="0" fillId="6" borderId="51" xfId="0" applyNumberFormat="1" applyFill="1" applyBorder="1" applyAlignment="1" applyProtection="1">
      <alignment vertical="center"/>
      <protection locked="0"/>
    </xf>
    <xf numFmtId="1" fontId="0" fillId="6" borderId="52" xfId="0" applyNumberFormat="1" applyFill="1" applyBorder="1" applyAlignment="1" applyProtection="1">
      <alignment vertical="center"/>
      <protection locked="0"/>
    </xf>
    <xf numFmtId="1" fontId="8" fillId="6" borderId="53" xfId="0" applyNumberFormat="1" applyFont="1" applyFill="1" applyBorder="1" applyAlignment="1" applyProtection="1">
      <alignment vertical="center"/>
      <protection locked="0"/>
    </xf>
    <xf numFmtId="1" fontId="0" fillId="6" borderId="45" xfId="0" applyNumberFormat="1" applyFill="1" applyBorder="1" applyAlignment="1" applyProtection="1">
      <alignment vertical="center"/>
      <protection locked="0"/>
    </xf>
    <xf numFmtId="1" fontId="0" fillId="6" borderId="40" xfId="0" applyNumberFormat="1" applyFill="1" applyBorder="1" applyAlignment="1" applyProtection="1">
      <alignment vertical="center"/>
      <protection locked="0"/>
    </xf>
    <xf numFmtId="1" fontId="0" fillId="6" borderId="54" xfId="0" applyNumberFormat="1" applyFill="1" applyBorder="1" applyAlignment="1" applyProtection="1">
      <alignment vertical="center"/>
      <protection locked="0"/>
    </xf>
    <xf numFmtId="1" fontId="11" fillId="6" borderId="55" xfId="0" applyNumberFormat="1" applyFont="1" applyFill="1" applyBorder="1" applyAlignment="1" applyProtection="1">
      <alignment vertical="center"/>
      <protection locked="0"/>
    </xf>
    <xf numFmtId="0" fontId="3" fillId="6" borderId="6" xfId="0" applyFont="1" applyFill="1" applyBorder="1" applyAlignment="1" applyProtection="1">
      <alignment horizontal="center" vertical="center" wrapText="1"/>
      <protection locked="0"/>
    </xf>
    <xf numFmtId="0" fontId="3" fillId="6" borderId="5" xfId="0" applyFont="1" applyFill="1" applyBorder="1" applyAlignment="1" applyProtection="1">
      <alignment horizontal="center" vertical="center" wrapText="1"/>
      <protection locked="0"/>
    </xf>
    <xf numFmtId="0" fontId="3" fillId="6" borderId="18" xfId="0" applyFont="1" applyFill="1" applyBorder="1" applyAlignment="1" applyProtection="1">
      <alignment horizontal="center" vertical="center" wrapText="1"/>
      <protection locked="0"/>
    </xf>
    <xf numFmtId="0" fontId="11" fillId="6" borderId="56" xfId="0" applyFont="1" applyFill="1" applyBorder="1" applyAlignment="1" applyProtection="1">
      <alignment vertical="center"/>
      <protection locked="0"/>
    </xf>
    <xf numFmtId="167" fontId="5" fillId="6" borderId="43" xfId="0" applyNumberFormat="1" applyFont="1" applyFill="1" applyBorder="1" applyAlignment="1" applyProtection="1">
      <alignment vertical="center"/>
      <protection locked="0"/>
    </xf>
    <xf numFmtId="0" fontId="11" fillId="6" borderId="19" xfId="0" applyFont="1" applyFill="1" applyBorder="1" applyAlignment="1" applyProtection="1">
      <alignment vertical="center"/>
      <protection locked="0"/>
    </xf>
    <xf numFmtId="0" fontId="3" fillId="6" borderId="57" xfId="0" applyFont="1" applyFill="1" applyBorder="1" applyAlignment="1" applyProtection="1">
      <alignment vertical="center"/>
      <protection locked="0"/>
    </xf>
    <xf numFmtId="0" fontId="3" fillId="6" borderId="42" xfId="0" applyFont="1" applyFill="1" applyBorder="1" applyAlignment="1" applyProtection="1">
      <alignment vertical="center"/>
      <protection locked="0"/>
    </xf>
    <xf numFmtId="167" fontId="11" fillId="6" borderId="43" xfId="0" applyNumberFormat="1" applyFont="1" applyFill="1" applyBorder="1" applyAlignment="1" applyProtection="1">
      <alignment vertical="center"/>
      <protection locked="0"/>
    </xf>
    <xf numFmtId="167" fontId="11" fillId="6" borderId="58" xfId="0" applyNumberFormat="1" applyFont="1" applyFill="1" applyBorder="1" applyAlignment="1" applyProtection="1">
      <alignment vertical="center"/>
      <protection locked="0"/>
    </xf>
    <xf numFmtId="0" fontId="3" fillId="6" borderId="55" xfId="0" applyFont="1" applyFill="1" applyBorder="1" applyAlignment="1" applyProtection="1">
      <alignment vertical="center"/>
      <protection locked="0"/>
    </xf>
    <xf numFmtId="0" fontId="3" fillId="6" borderId="6" xfId="0" applyFont="1" applyFill="1" applyBorder="1" applyAlignment="1" applyProtection="1">
      <alignment vertical="center"/>
      <protection locked="0"/>
    </xf>
    <xf numFmtId="0" fontId="15" fillId="0" borderId="5" xfId="0" applyFont="1" applyBorder="1" applyAlignment="1">
      <alignment horizontal="left" vertical="center" wrapText="1"/>
    </xf>
    <xf numFmtId="0" fontId="15" fillId="0" borderId="6" xfId="0" applyFont="1" applyBorder="1" applyAlignment="1">
      <alignment horizontal="left" vertical="center" wrapText="1"/>
    </xf>
    <xf numFmtId="0" fontId="15" fillId="6" borderId="6" xfId="0" applyFont="1" applyFill="1" applyBorder="1" applyAlignment="1">
      <alignment horizontal="left" vertical="center" wrapText="1"/>
    </xf>
    <xf numFmtId="0" fontId="15" fillId="0" borderId="0" xfId="0" applyFont="1" applyAlignment="1">
      <alignment vertical="center" wrapText="1"/>
    </xf>
    <xf numFmtId="0" fontId="15" fillId="0" borderId="0" xfId="0" applyFont="1" applyAlignment="1">
      <alignment vertical="center"/>
    </xf>
    <xf numFmtId="0" fontId="15" fillId="0" borderId="0" xfId="0" applyFont="1" applyFill="1"/>
    <xf numFmtId="0" fontId="3" fillId="4" borderId="45" xfId="19" applyFont="1" applyFill="1" applyBorder="1"/>
    <xf numFmtId="0" fontId="3" fillId="4" borderId="59" xfId="19" applyFont="1" applyFill="1" applyBorder="1"/>
    <xf numFmtId="0" fontId="3" fillId="4" borderId="46" xfId="0" applyFont="1" applyFill="1" applyBorder="1"/>
    <xf numFmtId="0" fontId="3" fillId="4" borderId="49" xfId="0" applyFont="1" applyFill="1" applyBorder="1"/>
    <xf numFmtId="0" fontId="3" fillId="4" borderId="44" xfId="0" applyFont="1" applyFill="1" applyBorder="1"/>
    <xf numFmtId="0" fontId="3" fillId="4" borderId="50" xfId="0" applyFont="1" applyFill="1" applyBorder="1"/>
    <xf numFmtId="0" fontId="8" fillId="0" borderId="1" xfId="0" applyFont="1" applyFill="1" applyBorder="1" applyAlignment="1" applyProtection="1">
      <alignment vertical="center" wrapText="1"/>
    </xf>
    <xf numFmtId="0" fontId="8" fillId="0" borderId="1" xfId="0" applyFont="1" applyFill="1" applyBorder="1" applyAlignment="1" applyProtection="1">
      <alignment horizontal="left" vertical="center" wrapText="1"/>
    </xf>
    <xf numFmtId="0" fontId="8" fillId="0" borderId="22" xfId="0" applyFont="1" applyFill="1" applyBorder="1" applyAlignment="1" applyProtection="1">
      <alignment horizontal="left" vertical="center" wrapText="1"/>
    </xf>
    <xf numFmtId="0" fontId="3" fillId="5" borderId="0" xfId="0" applyFont="1" applyFill="1" applyAlignment="1">
      <alignment horizontal="right"/>
    </xf>
    <xf numFmtId="9" fontId="3" fillId="5" borderId="0" xfId="0" applyNumberFormat="1" applyFont="1" applyFill="1" applyAlignment="1">
      <alignment horizontal="right"/>
    </xf>
    <xf numFmtId="0" fontId="7" fillId="0" borderId="23" xfId="13" applyBorder="1" applyAlignment="1" applyProtection="1">
      <alignment vertical="center" wrapText="1"/>
    </xf>
    <xf numFmtId="0" fontId="3" fillId="4" borderId="23" xfId="0" applyFont="1" applyFill="1" applyBorder="1" applyAlignment="1" applyProtection="1">
      <alignment horizontal="left" vertical="center" wrapText="1"/>
    </xf>
    <xf numFmtId="0" fontId="0" fillId="5" borderId="40" xfId="0" applyFill="1" applyBorder="1"/>
    <xf numFmtId="0" fontId="3" fillId="5" borderId="46" xfId="0" applyFont="1" applyFill="1" applyBorder="1" applyAlignment="1">
      <alignment horizontal="left" vertical="center" wrapText="1"/>
    </xf>
    <xf numFmtId="0" fontId="3" fillId="5" borderId="40" xfId="0" applyFont="1" applyFill="1" applyBorder="1" applyAlignment="1">
      <alignment horizontal="left" vertical="center" wrapText="1"/>
    </xf>
    <xf numFmtId="0" fontId="3" fillId="5" borderId="38" xfId="0" applyFont="1" applyFill="1" applyBorder="1" applyAlignment="1">
      <alignment horizontal="left" vertical="center" wrapText="1"/>
    </xf>
    <xf numFmtId="0" fontId="3" fillId="5" borderId="39" xfId="0" applyFont="1" applyFill="1" applyBorder="1" applyAlignment="1">
      <alignment horizontal="left" vertical="center" wrapText="1"/>
    </xf>
    <xf numFmtId="0" fontId="0" fillId="5" borderId="1" xfId="0" applyFill="1" applyBorder="1" applyAlignment="1">
      <alignment horizontal="left" vertical="center" wrapText="1"/>
    </xf>
    <xf numFmtId="0" fontId="3" fillId="5" borderId="22" xfId="0" applyFont="1" applyFill="1" applyBorder="1" applyAlignment="1">
      <alignment horizontal="right" vertical="center" wrapText="1"/>
    </xf>
    <xf numFmtId="0" fontId="3" fillId="5" borderId="38" xfId="0" applyFont="1" applyFill="1" applyBorder="1" applyAlignment="1">
      <alignment horizontal="right" vertical="center" wrapText="1"/>
    </xf>
    <xf numFmtId="0" fontId="0" fillId="5" borderId="38" xfId="0" applyFill="1" applyBorder="1"/>
    <xf numFmtId="0" fontId="8" fillId="5" borderId="60" xfId="0" applyFont="1" applyFill="1" applyBorder="1"/>
    <xf numFmtId="0" fontId="0" fillId="5" borderId="60" xfId="0" applyFill="1" applyBorder="1"/>
    <xf numFmtId="0" fontId="0" fillId="5" borderId="60" xfId="0" applyFont="1" applyFill="1" applyBorder="1"/>
    <xf numFmtId="1" fontId="8" fillId="0" borderId="60" xfId="0" applyNumberFormat="1" applyFont="1" applyFill="1" applyBorder="1"/>
    <xf numFmtId="42" fontId="0" fillId="0" borderId="0" xfId="0" applyNumberFormat="1" applyProtection="1"/>
    <xf numFmtId="42" fontId="0" fillId="4" borderId="19" xfId="0" applyNumberFormat="1" applyFill="1" applyBorder="1" applyProtection="1"/>
    <xf numFmtId="42" fontId="8" fillId="4" borderId="19" xfId="0" applyNumberFormat="1" applyFont="1" applyFill="1" applyBorder="1" applyAlignment="1" applyProtection="1">
      <alignment vertical="center"/>
    </xf>
    <xf numFmtId="42" fontId="4" fillId="4" borderId="0" xfId="0" applyNumberFormat="1" applyFont="1" applyFill="1" applyBorder="1" applyProtection="1"/>
    <xf numFmtId="42" fontId="0" fillId="4" borderId="0" xfId="0" applyNumberFormat="1" applyFill="1" applyBorder="1" applyProtection="1"/>
    <xf numFmtId="42" fontId="0" fillId="0" borderId="0" xfId="0" applyNumberFormat="1" applyBorder="1" applyProtection="1"/>
    <xf numFmtId="42" fontId="5" fillId="0" borderId="0" xfId="0" applyNumberFormat="1" applyFont="1" applyFill="1" applyBorder="1" applyProtection="1"/>
    <xf numFmtId="42" fontId="5" fillId="11" borderId="3" xfId="0" applyNumberFormat="1" applyFont="1" applyFill="1" applyBorder="1" applyProtection="1"/>
    <xf numFmtId="42" fontId="5" fillId="11" borderId="4" xfId="0" applyNumberFormat="1" applyFont="1" applyFill="1" applyBorder="1" applyProtection="1"/>
    <xf numFmtId="42" fontId="5" fillId="3" borderId="3" xfId="0" applyNumberFormat="1" applyFont="1" applyFill="1" applyBorder="1" applyProtection="1"/>
    <xf numFmtId="42" fontId="5" fillId="3" borderId="4" xfId="0" applyNumberFormat="1" applyFont="1" applyFill="1" applyBorder="1" applyProtection="1"/>
    <xf numFmtId="42" fontId="37" fillId="9" borderId="3" xfId="3" applyNumberFormat="1" applyFont="1" applyFill="1" applyBorder="1" applyProtection="1"/>
    <xf numFmtId="42" fontId="37" fillId="9" borderId="4" xfId="3" applyNumberFormat="1" applyFont="1" applyFill="1" applyBorder="1" applyProtection="1"/>
    <xf numFmtId="42" fontId="5" fillId="0" borderId="19" xfId="0" applyNumberFormat="1" applyFont="1" applyFill="1" applyBorder="1" applyProtection="1"/>
    <xf numFmtId="42" fontId="5" fillId="7" borderId="3" xfId="0" applyNumberFormat="1" applyFont="1" applyFill="1" applyBorder="1" applyProtection="1"/>
    <xf numFmtId="42" fontId="5" fillId="7" borderId="4" xfId="0" applyNumberFormat="1" applyFont="1" applyFill="1" applyBorder="1" applyProtection="1"/>
    <xf numFmtId="42" fontId="5" fillId="8" borderId="3" xfId="0" applyNumberFormat="1" applyFont="1" applyFill="1" applyBorder="1" applyProtection="1"/>
    <xf numFmtId="42" fontId="5" fillId="8" borderId="0" xfId="0" applyNumberFormat="1" applyFont="1" applyFill="1" applyBorder="1" applyProtection="1"/>
    <xf numFmtId="42" fontId="5" fillId="8" borderId="4" xfId="0" applyNumberFormat="1" applyFont="1" applyFill="1" applyBorder="1" applyProtection="1"/>
    <xf numFmtId="42" fontId="37" fillId="10" borderId="3" xfId="3" applyNumberFormat="1" applyFont="1" applyFill="1" applyBorder="1" applyProtection="1"/>
    <xf numFmtId="42" fontId="37" fillId="10" borderId="4" xfId="3" applyNumberFormat="1" applyFont="1" applyFill="1" applyBorder="1" applyProtection="1"/>
    <xf numFmtId="42" fontId="5" fillId="16" borderId="19" xfId="0" applyNumberFormat="1" applyFont="1" applyFill="1" applyBorder="1" applyProtection="1"/>
    <xf numFmtId="165" fontId="11" fillId="4" borderId="2" xfId="0" applyNumberFormat="1" applyFont="1" applyFill="1" applyBorder="1" applyProtection="1"/>
    <xf numFmtId="165" fontId="11" fillId="4" borderId="62" xfId="0" applyNumberFormat="1" applyFont="1" applyFill="1" applyBorder="1" applyProtection="1"/>
    <xf numFmtId="42" fontId="5" fillId="4" borderId="63" xfId="0" applyNumberFormat="1" applyFont="1" applyFill="1" applyBorder="1" applyProtection="1"/>
    <xf numFmtId="42" fontId="5" fillId="4" borderId="59" xfId="0" applyNumberFormat="1" applyFont="1" applyFill="1" applyBorder="1" applyProtection="1"/>
    <xf numFmtId="165" fontId="5" fillId="4" borderId="46" xfId="0" applyNumberFormat="1" applyFont="1" applyFill="1" applyBorder="1" applyProtection="1"/>
    <xf numFmtId="165" fontId="5" fillId="4" borderId="21" xfId="0" applyNumberFormat="1" applyFont="1" applyFill="1" applyBorder="1" applyProtection="1"/>
    <xf numFmtId="42" fontId="5" fillId="4" borderId="46" xfId="0" applyNumberFormat="1" applyFont="1" applyFill="1" applyBorder="1" applyProtection="1"/>
    <xf numFmtId="165" fontId="8" fillId="13" borderId="0" xfId="3" applyNumberFormat="1" applyFont="1" applyFill="1" applyBorder="1" applyProtection="1"/>
    <xf numFmtId="0" fontId="8" fillId="0" borderId="38" xfId="0" applyFont="1" applyFill="1" applyBorder="1" applyProtection="1"/>
    <xf numFmtId="42" fontId="11" fillId="4" borderId="64" xfId="0" applyNumberFormat="1" applyFont="1" applyFill="1" applyBorder="1" applyProtection="1"/>
    <xf numFmtId="165" fontId="11" fillId="4" borderId="64" xfId="0" applyNumberFormat="1" applyFont="1" applyFill="1" applyBorder="1" applyProtection="1"/>
    <xf numFmtId="165" fontId="11" fillId="4" borderId="65" xfId="0" applyNumberFormat="1" applyFont="1" applyFill="1" applyBorder="1" applyProtection="1"/>
    <xf numFmtId="165" fontId="9" fillId="16" borderId="19" xfId="3" applyNumberFormat="1" applyFont="1" applyFill="1" applyBorder="1" applyProtection="1"/>
    <xf numFmtId="42" fontId="37" fillId="17" borderId="19" xfId="3" applyNumberFormat="1" applyFont="1" applyFill="1" applyBorder="1" applyProtection="1"/>
    <xf numFmtId="0" fontId="39" fillId="0" borderId="20" xfId="0" applyFont="1" applyFill="1" applyBorder="1" applyProtection="1"/>
    <xf numFmtId="2" fontId="39" fillId="0" borderId="0" xfId="0" applyNumberFormat="1" applyFont="1" applyAlignment="1" applyProtection="1"/>
    <xf numFmtId="0" fontId="16" fillId="16" borderId="18" xfId="0" applyFont="1" applyFill="1" applyBorder="1" applyProtection="1"/>
    <xf numFmtId="0" fontId="6" fillId="16" borderId="19" xfId="0" applyFont="1" applyFill="1" applyBorder="1" applyProtection="1"/>
    <xf numFmtId="2" fontId="3" fillId="0" borderId="0" xfId="0" applyNumberFormat="1" applyFont="1" applyFill="1" applyBorder="1" applyAlignment="1" applyProtection="1">
      <alignment horizontal="center" vertical="center"/>
    </xf>
    <xf numFmtId="2" fontId="0" fillId="6" borderId="21" xfId="0" applyNumberFormat="1" applyFill="1" applyBorder="1" applyAlignment="1" applyProtection="1">
      <alignment horizontal="right" vertical="center"/>
      <protection locked="0"/>
    </xf>
    <xf numFmtId="2" fontId="0" fillId="6" borderId="22" xfId="0" applyNumberFormat="1" applyFill="1" applyBorder="1" applyAlignment="1" applyProtection="1">
      <alignment horizontal="right" vertical="center"/>
      <protection locked="0"/>
    </xf>
    <xf numFmtId="0" fontId="3" fillId="4" borderId="66" xfId="0" applyFont="1" applyFill="1" applyBorder="1" applyAlignment="1" applyProtection="1">
      <alignment vertical="center"/>
    </xf>
    <xf numFmtId="2" fontId="40" fillId="0" borderId="67" xfId="0" applyNumberFormat="1" applyFont="1" applyBorder="1" applyAlignment="1" applyProtection="1">
      <alignment horizontal="right" vertical="center"/>
    </xf>
    <xf numFmtId="42" fontId="8" fillId="4" borderId="0" xfId="0" applyNumberFormat="1" applyFont="1" applyFill="1" applyBorder="1" applyProtection="1"/>
    <xf numFmtId="0" fontId="3" fillId="4" borderId="68" xfId="0" applyFont="1" applyFill="1" applyBorder="1" applyAlignment="1" applyProtection="1">
      <alignment vertical="center"/>
    </xf>
    <xf numFmtId="0" fontId="15" fillId="0" borderId="0" xfId="0" applyFont="1" applyProtection="1"/>
    <xf numFmtId="0" fontId="15" fillId="0" borderId="0" xfId="0" applyFont="1" applyFill="1" applyBorder="1" applyProtection="1"/>
    <xf numFmtId="0" fontId="15" fillId="0" borderId="0" xfId="0" applyFont="1" applyFill="1" applyBorder="1"/>
    <xf numFmtId="0" fontId="15" fillId="0" borderId="0" xfId="0" applyFont="1" applyFill="1" applyProtection="1"/>
    <xf numFmtId="165" fontId="8" fillId="13" borderId="1" xfId="3" applyNumberFormat="1" applyFont="1" applyFill="1" applyBorder="1" applyProtection="1"/>
    <xf numFmtId="165" fontId="17" fillId="7" borderId="41" xfId="3" applyNumberFormat="1" applyFont="1" applyFill="1" applyBorder="1" applyProtection="1"/>
    <xf numFmtId="165" fontId="17" fillId="7" borderId="42" xfId="3" applyNumberFormat="1" applyFont="1" applyFill="1" applyBorder="1" applyProtection="1"/>
    <xf numFmtId="165" fontId="9" fillId="8" borderId="41" xfId="3" applyNumberFormat="1" applyFont="1" applyFill="1" applyBorder="1" applyProtection="1"/>
    <xf numFmtId="165" fontId="9" fillId="8" borderId="1" xfId="3" applyNumberFormat="1" applyFont="1" applyFill="1" applyBorder="1" applyProtection="1"/>
    <xf numFmtId="165" fontId="9" fillId="8" borderId="42" xfId="3" applyNumberFormat="1" applyFont="1" applyFill="1" applyBorder="1" applyProtection="1"/>
    <xf numFmtId="0" fontId="0" fillId="0" borderId="38" xfId="0" applyBorder="1" applyProtection="1"/>
    <xf numFmtId="41" fontId="36" fillId="17" borderId="18" xfId="0" applyNumberFormat="1" applyFont="1" applyFill="1" applyBorder="1" applyProtection="1"/>
    <xf numFmtId="41" fontId="37" fillId="17" borderId="19" xfId="0" applyNumberFormat="1" applyFont="1" applyFill="1" applyBorder="1" applyProtection="1"/>
    <xf numFmtId="41" fontId="38" fillId="17" borderId="19" xfId="3" applyNumberFormat="1" applyFont="1" applyFill="1" applyBorder="1" applyProtection="1"/>
    <xf numFmtId="41" fontId="38" fillId="17" borderId="43" xfId="3" applyNumberFormat="1" applyFont="1" applyFill="1" applyBorder="1" applyProtection="1"/>
    <xf numFmtId="0" fontId="7" fillId="0" borderId="0" xfId="13" applyFill="1" applyBorder="1" applyAlignment="1" applyProtection="1"/>
    <xf numFmtId="0" fontId="8" fillId="18" borderId="0" xfId="0" applyFont="1" applyFill="1" applyBorder="1" applyProtection="1"/>
    <xf numFmtId="0" fontId="7" fillId="18" borderId="34" xfId="13" applyFill="1" applyBorder="1" applyAlignment="1" applyProtection="1">
      <alignment vertical="center"/>
    </xf>
    <xf numFmtId="0" fontId="8" fillId="0" borderId="44" xfId="0" applyFont="1" applyBorder="1" applyAlignment="1">
      <alignment vertical="center"/>
    </xf>
    <xf numFmtId="0" fontId="7" fillId="18" borderId="50" xfId="13" applyFill="1" applyBorder="1" applyAlignment="1" applyProtection="1">
      <alignment vertical="center"/>
    </xf>
    <xf numFmtId="0" fontId="7" fillId="18" borderId="33" xfId="13" applyFill="1" applyBorder="1" applyAlignment="1" applyProtection="1">
      <alignment vertical="center"/>
    </xf>
    <xf numFmtId="0" fontId="7" fillId="0" borderId="50" xfId="13" applyFill="1" applyBorder="1" applyAlignment="1" applyProtection="1">
      <alignment vertical="center"/>
    </xf>
    <xf numFmtId="0" fontId="8" fillId="5" borderId="38" xfId="0" applyFont="1" applyFill="1" applyBorder="1"/>
    <xf numFmtId="0" fontId="3" fillId="4" borderId="40" xfId="19" applyFont="1" applyFill="1" applyBorder="1" applyAlignment="1">
      <alignment wrapText="1"/>
    </xf>
    <xf numFmtId="0" fontId="3" fillId="4" borderId="34" xfId="19" applyFont="1" applyFill="1" applyBorder="1" applyAlignment="1">
      <alignment horizontal="right" wrapText="1"/>
    </xf>
    <xf numFmtId="0" fontId="3" fillId="5" borderId="23" xfId="0" applyFont="1" applyFill="1" applyBorder="1" applyAlignment="1">
      <alignment wrapText="1"/>
    </xf>
    <xf numFmtId="0" fontId="7" fillId="0" borderId="23" xfId="13" applyBorder="1" applyAlignment="1" applyProtection="1">
      <alignment wrapText="1"/>
    </xf>
    <xf numFmtId="0" fontId="3" fillId="4" borderId="21" xfId="0" applyFont="1" applyFill="1" applyBorder="1" applyAlignment="1">
      <alignment wrapText="1"/>
    </xf>
    <xf numFmtId="0" fontId="8" fillId="0" borderId="0" xfId="0" applyFont="1" applyAlignment="1">
      <alignment wrapText="1"/>
    </xf>
    <xf numFmtId="0" fontId="3" fillId="4" borderId="40" xfId="0" applyFont="1" applyFill="1" applyBorder="1" applyAlignment="1">
      <alignment wrapText="1"/>
    </xf>
    <xf numFmtId="0" fontId="3" fillId="4" borderId="38" xfId="0" applyFont="1" applyFill="1" applyBorder="1" applyAlignment="1">
      <alignment wrapText="1"/>
    </xf>
    <xf numFmtId="0" fontId="3" fillId="5" borderId="38" xfId="0" applyFont="1" applyFill="1" applyBorder="1" applyAlignment="1">
      <alignment wrapText="1"/>
    </xf>
    <xf numFmtId="0" fontId="3" fillId="5" borderId="49" xfId="0" applyFont="1" applyFill="1" applyBorder="1" applyAlignment="1">
      <alignment wrapText="1"/>
    </xf>
    <xf numFmtId="7" fontId="0" fillId="0" borderId="0" xfId="0" applyNumberFormat="1" applyBorder="1"/>
    <xf numFmtId="0" fontId="24" fillId="0" borderId="0" xfId="0" applyFont="1" applyBorder="1"/>
    <xf numFmtId="0" fontId="13" fillId="4" borderId="15" xfId="0" applyFont="1" applyFill="1" applyBorder="1" applyAlignment="1" applyProtection="1">
      <alignment horizontal="right"/>
    </xf>
    <xf numFmtId="0" fontId="31" fillId="5" borderId="47" xfId="0" applyFont="1" applyFill="1" applyBorder="1" applyAlignment="1" applyProtection="1">
      <alignment horizontal="right"/>
    </xf>
    <xf numFmtId="0" fontId="15" fillId="4" borderId="0" xfId="0" applyFont="1" applyFill="1" applyBorder="1" applyAlignment="1" applyProtection="1">
      <alignment horizontal="left"/>
    </xf>
    <xf numFmtId="42" fontId="15" fillId="19" borderId="0" xfId="3" applyNumberFormat="1" applyFont="1" applyFill="1" applyBorder="1" applyAlignment="1" applyProtection="1"/>
    <xf numFmtId="42" fontId="15" fillId="5" borderId="48" xfId="0" applyNumberFormat="1" applyFont="1" applyFill="1" applyBorder="1" applyAlignment="1" applyProtection="1"/>
    <xf numFmtId="0" fontId="15" fillId="4" borderId="4" xfId="0" applyFont="1" applyFill="1" applyBorder="1" applyAlignment="1" applyProtection="1">
      <alignment horizontal="left"/>
    </xf>
    <xf numFmtId="42" fontId="15" fillId="15" borderId="4" xfId="0" applyNumberFormat="1" applyFont="1" applyFill="1" applyBorder="1" applyAlignment="1" applyProtection="1">
      <alignment horizontal="right"/>
    </xf>
    <xf numFmtId="42" fontId="15" fillId="5" borderId="32" xfId="0" applyNumberFormat="1" applyFont="1" applyFill="1" applyBorder="1" applyAlignment="1" applyProtection="1"/>
    <xf numFmtId="0" fontId="15" fillId="4" borderId="19" xfId="0" applyFont="1" applyFill="1" applyBorder="1" applyAlignment="1" applyProtection="1">
      <alignment horizontal="left"/>
    </xf>
    <xf numFmtId="0" fontId="15" fillId="0" borderId="6" xfId="0" applyFont="1" applyFill="1" applyBorder="1" applyAlignment="1" applyProtection="1">
      <alignment horizontal="center"/>
    </xf>
    <xf numFmtId="0" fontId="15" fillId="0" borderId="0" xfId="0" applyFont="1" applyBorder="1"/>
    <xf numFmtId="0" fontId="8" fillId="4" borderId="0" xfId="0" applyFont="1" applyFill="1" applyBorder="1" applyAlignment="1">
      <alignment vertical="center"/>
    </xf>
    <xf numFmtId="0" fontId="8" fillId="6" borderId="26" xfId="0" applyFont="1" applyFill="1" applyBorder="1" applyAlignment="1" applyProtection="1">
      <alignment vertical="center"/>
      <protection locked="0"/>
    </xf>
    <xf numFmtId="42" fontId="8" fillId="0" borderId="38" xfId="0" applyNumberFormat="1" applyFont="1" applyBorder="1" applyAlignment="1">
      <alignment vertical="center"/>
    </xf>
    <xf numFmtId="0" fontId="8" fillId="4" borderId="38" xfId="0" applyFont="1" applyFill="1" applyBorder="1" applyAlignment="1">
      <alignment vertical="center" wrapText="1"/>
    </xf>
    <xf numFmtId="0" fontId="3" fillId="4" borderId="0" xfId="0" applyFont="1" applyFill="1" applyBorder="1" applyAlignment="1">
      <alignment vertical="center"/>
    </xf>
    <xf numFmtId="42" fontId="3" fillId="4" borderId="0" xfId="0" applyNumberFormat="1" applyFont="1" applyFill="1" applyBorder="1" applyAlignment="1">
      <alignment horizontal="right" vertical="center"/>
    </xf>
    <xf numFmtId="0" fontId="3" fillId="0" borderId="38" xfId="0" applyFont="1" applyBorder="1" applyAlignment="1">
      <alignment vertical="center" wrapText="1"/>
    </xf>
    <xf numFmtId="0" fontId="8" fillId="0" borderId="0" xfId="0" applyFont="1" applyBorder="1" applyAlignment="1">
      <alignment vertical="center"/>
    </xf>
    <xf numFmtId="0" fontId="8" fillId="0" borderId="38" xfId="0" applyFont="1" applyBorder="1" applyAlignment="1">
      <alignment vertical="center" wrapText="1"/>
    </xf>
    <xf numFmtId="0" fontId="3" fillId="4" borderId="38" xfId="0" applyFont="1" applyFill="1" applyBorder="1" applyAlignment="1">
      <alignment vertical="center" wrapText="1"/>
    </xf>
    <xf numFmtId="42" fontId="8" fillId="4" borderId="0" xfId="0" applyNumberFormat="1" applyFont="1" applyFill="1" applyBorder="1" applyAlignment="1">
      <alignment vertical="center"/>
    </xf>
    <xf numFmtId="0" fontId="3" fillId="0" borderId="49" xfId="0" applyFont="1" applyBorder="1" applyAlignment="1">
      <alignment vertical="center" wrapText="1"/>
    </xf>
    <xf numFmtId="42" fontId="3" fillId="4" borderId="0" xfId="0" applyNumberFormat="1" applyFont="1" applyFill="1" applyBorder="1" applyAlignment="1">
      <alignment vertical="center" wrapText="1"/>
    </xf>
    <xf numFmtId="42" fontId="3" fillId="4" borderId="0" xfId="0" applyNumberFormat="1" applyFont="1" applyFill="1" applyBorder="1" applyAlignment="1">
      <alignment horizontal="right" vertical="center" wrapText="1"/>
    </xf>
    <xf numFmtId="0" fontId="8" fillId="4" borderId="40" xfId="0" applyFont="1" applyFill="1" applyBorder="1"/>
    <xf numFmtId="0" fontId="4" fillId="4" borderId="38" xfId="0" applyFont="1" applyFill="1" applyBorder="1"/>
    <xf numFmtId="42" fontId="3" fillId="4" borderId="38" xfId="0" applyNumberFormat="1" applyFont="1" applyFill="1" applyBorder="1" applyAlignment="1">
      <alignment horizontal="right" vertical="center" wrapText="1"/>
    </xf>
    <xf numFmtId="42" fontId="8" fillId="15" borderId="38" xfId="0" applyNumberFormat="1" applyFont="1" applyFill="1" applyBorder="1" applyAlignment="1">
      <alignment vertical="center"/>
    </xf>
    <xf numFmtId="42" fontId="4" fillId="4" borderId="38" xfId="0" applyNumberFormat="1" applyFont="1" applyFill="1" applyBorder="1" applyAlignment="1">
      <alignment vertical="center"/>
    </xf>
    <xf numFmtId="42" fontId="3" fillId="4" borderId="38" xfId="0" applyNumberFormat="1" applyFont="1" applyFill="1" applyBorder="1" applyAlignment="1">
      <alignment horizontal="right" vertical="center"/>
    </xf>
    <xf numFmtId="42" fontId="8" fillId="0" borderId="49" xfId="0" applyNumberFormat="1" applyFont="1" applyBorder="1" applyAlignment="1">
      <alignment vertical="center"/>
    </xf>
    <xf numFmtId="42" fontId="3" fillId="4" borderId="39" xfId="0" applyNumberFormat="1" applyFont="1" applyFill="1" applyBorder="1" applyAlignment="1">
      <alignment horizontal="right" vertical="center"/>
    </xf>
    <xf numFmtId="42" fontId="8" fillId="0" borderId="39" xfId="0" applyNumberFormat="1" applyFont="1" applyBorder="1" applyAlignment="1">
      <alignment vertical="center"/>
    </xf>
    <xf numFmtId="44" fontId="8" fillId="0" borderId="39" xfId="0" applyNumberFormat="1" applyFont="1" applyBorder="1" applyAlignment="1">
      <alignment vertical="center"/>
    </xf>
    <xf numFmtId="44" fontId="8" fillId="15" borderId="39" xfId="0" applyNumberFormat="1" applyFont="1" applyFill="1" applyBorder="1" applyAlignment="1">
      <alignment vertical="center"/>
    </xf>
    <xf numFmtId="42" fontId="8" fillId="4" borderId="39" xfId="0" applyNumberFormat="1" applyFont="1" applyFill="1" applyBorder="1" applyAlignment="1">
      <alignment vertical="center"/>
    </xf>
    <xf numFmtId="44" fontId="8" fillId="0" borderId="50" xfId="0" applyNumberFormat="1" applyFont="1" applyBorder="1" applyAlignment="1">
      <alignment vertical="center"/>
    </xf>
    <xf numFmtId="42" fontId="3" fillId="4" borderId="23" xfId="0" applyNumberFormat="1" applyFont="1" applyFill="1" applyBorder="1" applyAlignment="1" applyProtection="1">
      <alignment horizontal="right" vertical="center" wrapText="1"/>
    </xf>
    <xf numFmtId="41" fontId="0" fillId="13" borderId="0" xfId="0" applyNumberFormat="1" applyFill="1" applyBorder="1" applyProtection="1"/>
    <xf numFmtId="41" fontId="0" fillId="0" borderId="0" xfId="0" applyNumberFormat="1" applyFill="1" applyBorder="1" applyProtection="1"/>
    <xf numFmtId="41" fontId="0" fillId="0" borderId="1" xfId="0" applyNumberFormat="1" applyFill="1" applyBorder="1" applyProtection="1"/>
    <xf numFmtId="0" fontId="8" fillId="0" borderId="70" xfId="0" applyFont="1" applyFill="1" applyBorder="1" applyAlignment="1" applyProtection="1">
      <alignment vertical="center"/>
    </xf>
    <xf numFmtId="0" fontId="8" fillId="0" borderId="0" xfId="19" applyFont="1" applyBorder="1"/>
    <xf numFmtId="0" fontId="0" fillId="5" borderId="71" xfId="0" applyFill="1" applyBorder="1"/>
    <xf numFmtId="0" fontId="8" fillId="4" borderId="72" xfId="0" applyFont="1" applyFill="1" applyBorder="1"/>
    <xf numFmtId="0" fontId="8" fillId="4" borderId="61" xfId="0" applyFont="1" applyFill="1" applyBorder="1"/>
    <xf numFmtId="0" fontId="0" fillId="4" borderId="61" xfId="0" applyFont="1" applyFill="1" applyBorder="1"/>
    <xf numFmtId="0" fontId="3" fillId="5" borderId="21" xfId="0" applyFont="1" applyFill="1" applyBorder="1" applyAlignment="1">
      <alignment horizontal="left" vertical="center" wrapText="1"/>
    </xf>
    <xf numFmtId="0" fontId="8" fillId="0" borderId="73" xfId="0" applyFont="1" applyBorder="1" applyAlignment="1">
      <alignment wrapText="1"/>
    </xf>
    <xf numFmtId="0" fontId="0" fillId="0" borderId="74" xfId="0" applyFill="1" applyBorder="1" applyAlignment="1">
      <alignment wrapText="1"/>
    </xf>
    <xf numFmtId="0" fontId="8" fillId="0" borderId="39" xfId="0" applyFont="1" applyBorder="1" applyAlignment="1">
      <alignment wrapText="1"/>
    </xf>
    <xf numFmtId="0" fontId="8" fillId="0" borderId="1" xfId="0" applyFont="1" applyFill="1" applyBorder="1" applyAlignment="1">
      <alignment wrapText="1"/>
    </xf>
    <xf numFmtId="1" fontId="0" fillId="0" borderId="21" xfId="0" applyNumberFormat="1" applyBorder="1" applyAlignment="1">
      <alignment wrapText="1"/>
    </xf>
    <xf numFmtId="1" fontId="8" fillId="0" borderId="1" xfId="0" applyNumberFormat="1" applyFont="1" applyBorder="1" applyAlignment="1">
      <alignment wrapText="1"/>
    </xf>
    <xf numFmtId="0" fontId="0" fillId="0" borderId="74" xfId="0" applyFill="1" applyBorder="1" applyAlignment="1">
      <alignment horizontal="left" vertical="top" wrapText="1"/>
    </xf>
    <xf numFmtId="2" fontId="8" fillId="0" borderId="0" xfId="0" applyNumberFormat="1" applyFont="1" applyFill="1" applyBorder="1" applyAlignment="1" applyProtection="1">
      <alignment horizontal="left" vertical="center"/>
    </xf>
    <xf numFmtId="0" fontId="0" fillId="0" borderId="39" xfId="0" applyBorder="1" applyAlignment="1">
      <alignment wrapText="1"/>
    </xf>
    <xf numFmtId="1" fontId="0" fillId="0" borderId="40" xfId="0" applyNumberFormat="1" applyBorder="1" applyAlignment="1">
      <alignment wrapText="1"/>
    </xf>
    <xf numFmtId="1" fontId="0" fillId="0" borderId="38" xfId="0" applyNumberFormat="1" applyBorder="1" applyAlignment="1">
      <alignment wrapText="1"/>
    </xf>
    <xf numFmtId="1" fontId="8" fillId="18" borderId="60" xfId="0" applyNumberFormat="1" applyFont="1" applyFill="1" applyBorder="1" applyAlignment="1">
      <alignment wrapText="1"/>
    </xf>
    <xf numFmtId="0" fontId="3" fillId="0" borderId="46" xfId="0" applyFont="1" applyFill="1" applyBorder="1" applyAlignment="1">
      <alignment wrapText="1"/>
    </xf>
    <xf numFmtId="0" fontId="8" fillId="4" borderId="23" xfId="19" applyFont="1" applyFill="1" applyBorder="1" applyAlignment="1">
      <alignment vertical="center" wrapText="1"/>
    </xf>
    <xf numFmtId="0" fontId="0" fillId="18" borderId="23" xfId="0" applyFill="1" applyBorder="1" applyAlignment="1">
      <alignment vertical="center" wrapText="1"/>
    </xf>
    <xf numFmtId="0" fontId="8" fillId="4" borderId="23" xfId="0" applyFont="1" applyFill="1" applyBorder="1" applyAlignment="1">
      <alignment vertical="center" wrapText="1"/>
    </xf>
    <xf numFmtId="0" fontId="13" fillId="0" borderId="19" xfId="0" applyFont="1" applyBorder="1" applyAlignment="1">
      <alignment horizontal="left" vertical="center"/>
    </xf>
    <xf numFmtId="0" fontId="8" fillId="0" borderId="19" xfId="0" applyFont="1" applyBorder="1" applyAlignment="1">
      <alignment horizontal="left" vertical="center" wrapText="1"/>
    </xf>
    <xf numFmtId="41" fontId="0" fillId="7" borderId="0" xfId="0" applyNumberFormat="1" applyFill="1" applyProtection="1"/>
    <xf numFmtId="0" fontId="13" fillId="0" borderId="0" xfId="0" applyFont="1" applyFill="1" applyBorder="1" applyAlignment="1" applyProtection="1">
      <alignment horizontal="left"/>
    </xf>
    <xf numFmtId="0" fontId="8" fillId="0" borderId="44" xfId="0" applyFont="1" applyFill="1" applyBorder="1" applyProtection="1"/>
    <xf numFmtId="165" fontId="5" fillId="4" borderId="59" xfId="0" applyNumberFormat="1" applyFont="1" applyFill="1" applyBorder="1" applyProtection="1"/>
    <xf numFmtId="0" fontId="5" fillId="4" borderId="52" xfId="0" applyFont="1" applyFill="1" applyBorder="1" applyProtection="1"/>
    <xf numFmtId="0" fontId="5" fillId="4" borderId="59" xfId="0" applyFont="1" applyFill="1" applyBorder="1" applyProtection="1"/>
    <xf numFmtId="165" fontId="5" fillId="4" borderId="23" xfId="0" applyNumberFormat="1" applyFont="1" applyFill="1" applyBorder="1" applyProtection="1"/>
    <xf numFmtId="42" fontId="11" fillId="4" borderId="0" xfId="0" applyNumberFormat="1" applyFont="1" applyFill="1" applyBorder="1" applyProtection="1"/>
    <xf numFmtId="0" fontId="5" fillId="4" borderId="75" xfId="0" applyFont="1" applyFill="1" applyBorder="1" applyProtection="1"/>
    <xf numFmtId="0" fontId="5" fillId="4" borderId="63" xfId="0" applyFont="1" applyFill="1" applyBorder="1" applyProtection="1"/>
    <xf numFmtId="0" fontId="13" fillId="20" borderId="14" xfId="0" applyFont="1" applyFill="1" applyBorder="1" applyAlignment="1" applyProtection="1">
      <alignment horizontal="left"/>
    </xf>
    <xf numFmtId="0" fontId="13" fillId="20" borderId="15" xfId="0" applyFont="1" applyFill="1" applyBorder="1" applyAlignment="1" applyProtection="1">
      <alignment horizontal="left"/>
    </xf>
    <xf numFmtId="0" fontId="13" fillId="4" borderId="14" xfId="0" applyFont="1" applyFill="1" applyBorder="1" applyAlignment="1" applyProtection="1">
      <alignment horizontal="left"/>
    </xf>
    <xf numFmtId="0" fontId="13" fillId="4" borderId="37" xfId="0" applyFont="1" applyFill="1" applyBorder="1" applyAlignment="1" applyProtection="1">
      <alignment horizontal="left"/>
    </xf>
    <xf numFmtId="0" fontId="12" fillId="6" borderId="23" xfId="0" applyFont="1" applyFill="1" applyBorder="1" applyProtection="1"/>
    <xf numFmtId="0" fontId="8" fillId="0" borderId="0" xfId="0" applyFont="1" applyFill="1" applyBorder="1" applyAlignment="1" applyProtection="1">
      <alignment vertical="center"/>
    </xf>
    <xf numFmtId="0" fontId="3" fillId="4" borderId="0" xfId="0" applyFont="1" applyFill="1" applyBorder="1" applyAlignment="1" applyProtection="1">
      <alignment vertical="center"/>
    </xf>
    <xf numFmtId="0" fontId="3" fillId="4" borderId="46" xfId="0" applyFont="1" applyFill="1" applyBorder="1" applyAlignment="1" applyProtection="1">
      <alignment vertical="center"/>
    </xf>
    <xf numFmtId="44" fontId="3" fillId="5" borderId="23" xfId="0" applyNumberFormat="1" applyFont="1" applyFill="1" applyBorder="1" applyAlignment="1" applyProtection="1">
      <alignment horizontal="right" vertical="center" wrapText="1"/>
    </xf>
    <xf numFmtId="44" fontId="3" fillId="4" borderId="23" xfId="0" applyNumberFormat="1" applyFont="1" applyFill="1" applyBorder="1" applyAlignment="1" applyProtection="1">
      <alignment horizontal="right" vertical="center" wrapText="1"/>
    </xf>
    <xf numFmtId="42" fontId="8" fillId="18" borderId="23" xfId="0" applyNumberFormat="1" applyFont="1" applyFill="1" applyBorder="1" applyAlignment="1" applyProtection="1">
      <alignment vertical="center" wrapText="1"/>
    </xf>
    <xf numFmtId="42" fontId="0" fillId="18" borderId="23" xfId="0" applyNumberFormat="1" applyFill="1" applyBorder="1" applyAlignment="1" applyProtection="1">
      <alignment vertical="center"/>
    </xf>
    <xf numFmtId="42" fontId="3" fillId="4" borderId="23" xfId="0" applyNumberFormat="1" applyFont="1" applyFill="1" applyBorder="1" applyAlignment="1" applyProtection="1">
      <alignment vertical="center" wrapText="1"/>
    </xf>
    <xf numFmtId="42" fontId="8" fillId="18" borderId="70" xfId="0" applyNumberFormat="1" applyFont="1" applyFill="1" applyBorder="1" applyAlignment="1" applyProtection="1">
      <alignment vertical="center" wrapText="1"/>
    </xf>
    <xf numFmtId="44" fontId="8" fillId="18" borderId="23" xfId="0" applyNumberFormat="1" applyFont="1" applyFill="1" applyBorder="1" applyAlignment="1" applyProtection="1">
      <alignment vertical="center" wrapText="1"/>
    </xf>
    <xf numFmtId="44" fontId="0" fillId="18" borderId="23" xfId="0" applyNumberFormat="1" applyFill="1" applyBorder="1" applyAlignment="1" applyProtection="1">
      <alignment vertical="center"/>
    </xf>
    <xf numFmtId="44" fontId="3" fillId="4" borderId="23" xfId="0" applyNumberFormat="1" applyFont="1" applyFill="1" applyBorder="1" applyAlignment="1" applyProtection="1">
      <alignment vertical="center" wrapText="1"/>
    </xf>
    <xf numFmtId="0" fontId="8" fillId="0" borderId="21" xfId="0" applyFont="1" applyFill="1" applyBorder="1" applyAlignment="1" applyProtection="1">
      <alignment vertical="center"/>
    </xf>
    <xf numFmtId="44" fontId="8" fillId="18" borderId="21" xfId="0" applyNumberFormat="1" applyFont="1" applyFill="1" applyBorder="1" applyAlignment="1" applyProtection="1">
      <alignment vertical="center" wrapText="1"/>
    </xf>
    <xf numFmtId="0" fontId="8" fillId="4" borderId="23" xfId="0" applyFont="1" applyFill="1" applyBorder="1" applyAlignment="1" applyProtection="1">
      <alignment vertical="center"/>
    </xf>
    <xf numFmtId="42" fontId="3" fillId="4" borderId="23" xfId="0" applyNumberFormat="1" applyFont="1" applyFill="1" applyBorder="1" applyAlignment="1" applyProtection="1">
      <alignment horizontal="center" vertical="center" wrapText="1"/>
    </xf>
    <xf numFmtId="41" fontId="9" fillId="13" borderId="1" xfId="3" applyNumberFormat="1" applyFont="1" applyFill="1" applyBorder="1" applyProtection="1"/>
    <xf numFmtId="41" fontId="8" fillId="13" borderId="1" xfId="0" applyNumberFormat="1" applyFont="1" applyFill="1" applyBorder="1" applyProtection="1"/>
    <xf numFmtId="166" fontId="0" fillId="0" borderId="43" xfId="3" applyNumberFormat="1" applyFont="1" applyFill="1" applyBorder="1" applyProtection="1"/>
    <xf numFmtId="165" fontId="9" fillId="16" borderId="43" xfId="3" applyNumberFormat="1" applyFont="1" applyFill="1" applyBorder="1" applyProtection="1"/>
    <xf numFmtId="41" fontId="0" fillId="0" borderId="1" xfId="0" applyNumberFormat="1" applyBorder="1" applyProtection="1"/>
    <xf numFmtId="0" fontId="0" fillId="0" borderId="0" xfId="0" applyFill="1" applyBorder="1" applyProtection="1"/>
    <xf numFmtId="0" fontId="0" fillId="0" borderId="0" xfId="0" applyFill="1" applyBorder="1" applyAlignment="1" applyProtection="1">
      <alignment vertical="center"/>
    </xf>
    <xf numFmtId="0" fontId="0" fillId="18" borderId="0" xfId="0" applyFill="1" applyBorder="1" applyProtection="1"/>
    <xf numFmtId="41" fontId="9" fillId="13" borderId="38" xfId="3" applyNumberFormat="1" applyFont="1" applyFill="1" applyBorder="1" applyProtection="1"/>
    <xf numFmtId="41" fontId="9" fillId="0" borderId="0" xfId="3" applyNumberFormat="1" applyFont="1" applyFill="1" applyBorder="1" applyProtection="1"/>
    <xf numFmtId="41" fontId="9" fillId="0" borderId="1" xfId="3" applyNumberFormat="1" applyFont="1" applyFill="1" applyBorder="1" applyProtection="1"/>
    <xf numFmtId="41" fontId="9" fillId="18" borderId="1" xfId="3" applyNumberFormat="1" applyFont="1" applyFill="1" applyBorder="1" applyProtection="1"/>
    <xf numFmtId="41" fontId="9" fillId="18" borderId="0" xfId="3" applyNumberFormat="1" applyFont="1" applyFill="1" applyBorder="1" applyProtection="1"/>
    <xf numFmtId="41" fontId="9" fillId="0" borderId="38" xfId="3" applyNumberFormat="1" applyFont="1" applyFill="1" applyBorder="1" applyProtection="1"/>
    <xf numFmtId="165" fontId="9" fillId="0" borderId="0" xfId="3" applyNumberFormat="1" applyFont="1" applyFill="1" applyBorder="1" applyProtection="1"/>
    <xf numFmtId="165" fontId="9" fillId="0" borderId="1" xfId="3" applyNumberFormat="1" applyFont="1" applyFill="1" applyBorder="1" applyProtection="1"/>
    <xf numFmtId="0" fontId="8" fillId="18" borderId="44" xfId="0" applyFont="1" applyFill="1" applyBorder="1" applyProtection="1"/>
    <xf numFmtId="41" fontId="9" fillId="13" borderId="49" xfId="3" applyNumberFormat="1" applyFont="1" applyFill="1" applyBorder="1" applyProtection="1"/>
    <xf numFmtId="41" fontId="9" fillId="13" borderId="44" xfId="3" applyNumberFormat="1" applyFont="1" applyFill="1" applyBorder="1" applyProtection="1"/>
    <xf numFmtId="41" fontId="9" fillId="13" borderId="22" xfId="3" applyNumberFormat="1" applyFont="1" applyFill="1" applyBorder="1" applyProtection="1"/>
    <xf numFmtId="0" fontId="5" fillId="0" borderId="0" xfId="0" applyFont="1" applyFill="1" applyBorder="1" applyProtection="1"/>
    <xf numFmtId="165" fontId="9" fillId="13" borderId="0" xfId="3" applyNumberFormat="1" applyFont="1" applyFill="1" applyBorder="1" applyProtection="1"/>
    <xf numFmtId="165" fontId="9" fillId="13" borderId="1" xfId="3" applyNumberFormat="1" applyFont="1" applyFill="1" applyBorder="1" applyProtection="1"/>
    <xf numFmtId="0" fontId="3" fillId="0" borderId="0" xfId="0" applyFont="1" applyFill="1" applyBorder="1" applyProtection="1"/>
    <xf numFmtId="41" fontId="9" fillId="21" borderId="0" xfId="3" applyNumberFormat="1" applyFont="1" applyFill="1" applyBorder="1" applyProtection="1"/>
    <xf numFmtId="41" fontId="9" fillId="12" borderId="0" xfId="3" applyNumberFormat="1" applyFont="1" applyFill="1" applyBorder="1" applyProtection="1"/>
    <xf numFmtId="41" fontId="9" fillId="22" borderId="0" xfId="3" applyNumberFormat="1" applyFont="1" applyFill="1" applyBorder="1" applyProtection="1"/>
    <xf numFmtId="41" fontId="9" fillId="22" borderId="1" xfId="3" applyNumberFormat="1" applyFont="1" applyFill="1" applyBorder="1" applyProtection="1"/>
    <xf numFmtId="41" fontId="9" fillId="22" borderId="38" xfId="3" applyNumberFormat="1" applyFont="1" applyFill="1" applyBorder="1" applyProtection="1"/>
    <xf numFmtId="41" fontId="8" fillId="0" borderId="0" xfId="3" applyNumberFormat="1" applyFont="1" applyFill="1" applyBorder="1" applyProtection="1"/>
    <xf numFmtId="0" fontId="24" fillId="18" borderId="0" xfId="0" applyFont="1" applyFill="1" applyProtection="1"/>
    <xf numFmtId="0" fontId="30" fillId="18" borderId="0" xfId="0" applyFont="1" applyFill="1" applyProtection="1"/>
    <xf numFmtId="44" fontId="8" fillId="0" borderId="0" xfId="0" applyNumberFormat="1" applyFont="1" applyFill="1" applyAlignment="1" applyProtection="1">
      <alignment vertical="center"/>
    </xf>
    <xf numFmtId="0" fontId="0" fillId="0" borderId="0" xfId="0" applyFill="1" applyProtection="1"/>
    <xf numFmtId="0" fontId="0" fillId="0" borderId="0" xfId="0" applyAlignment="1" applyProtection="1">
      <alignment horizontal="center" vertical="center" wrapText="1"/>
    </xf>
    <xf numFmtId="0" fontId="0" fillId="0" borderId="0" xfId="0" applyAlignment="1" applyProtection="1">
      <alignment vertical="center" wrapText="1"/>
    </xf>
    <xf numFmtId="0" fontId="3" fillId="4" borderId="21" xfId="0" applyFont="1" applyFill="1" applyBorder="1" applyAlignment="1" applyProtection="1">
      <alignment horizontal="left" vertical="center"/>
    </xf>
    <xf numFmtId="0" fontId="3" fillId="4" borderId="34" xfId="0" applyFont="1" applyFill="1" applyBorder="1" applyAlignment="1" applyProtection="1">
      <alignment horizontal="left" vertical="center"/>
    </xf>
    <xf numFmtId="44" fontId="3" fillId="4" borderId="21" xfId="0" applyNumberFormat="1" applyFont="1" applyFill="1" applyBorder="1" applyAlignment="1" applyProtection="1">
      <alignment horizontal="right" vertical="center"/>
    </xf>
    <xf numFmtId="0" fontId="3" fillId="4" borderId="21" xfId="0" applyFont="1" applyFill="1" applyBorder="1" applyAlignment="1" applyProtection="1">
      <alignment horizontal="center" vertical="center"/>
    </xf>
    <xf numFmtId="0" fontId="3" fillId="4" borderId="21" xfId="0" applyFont="1" applyFill="1" applyBorder="1" applyAlignment="1" applyProtection="1">
      <alignment horizontal="center" vertical="center" wrapText="1"/>
    </xf>
    <xf numFmtId="0" fontId="3" fillId="0" borderId="76" xfId="0" applyFont="1" applyBorder="1" applyAlignment="1" applyProtection="1">
      <alignment horizontal="left" vertical="center" wrapText="1"/>
    </xf>
    <xf numFmtId="0" fontId="8" fillId="0" borderId="76" xfId="0" applyFont="1" applyBorder="1" applyAlignment="1" applyProtection="1">
      <alignment horizontal="left" vertical="center" wrapText="1"/>
    </xf>
    <xf numFmtId="44" fontId="8" fillId="0" borderId="76" xfId="0" applyNumberFormat="1" applyFont="1" applyFill="1" applyBorder="1" applyAlignment="1" applyProtection="1">
      <alignment vertical="center" wrapText="1"/>
    </xf>
    <xf numFmtId="0" fontId="8" fillId="0" borderId="76" xfId="0" applyFont="1" applyFill="1" applyBorder="1" applyAlignment="1" applyProtection="1">
      <alignment horizontal="center" vertical="center"/>
    </xf>
    <xf numFmtId="0" fontId="8" fillId="0" borderId="76" xfId="0" applyFont="1" applyFill="1" applyBorder="1" applyAlignment="1" applyProtection="1">
      <alignment horizontal="center" vertical="center" wrapText="1"/>
    </xf>
    <xf numFmtId="0" fontId="8" fillId="0" borderId="76" xfId="0" applyFont="1" applyFill="1" applyBorder="1" applyAlignment="1" applyProtection="1">
      <alignment horizontal="left" vertical="center" wrapText="1"/>
    </xf>
    <xf numFmtId="0" fontId="3" fillId="0" borderId="77" xfId="0" applyFont="1" applyBorder="1" applyAlignment="1" applyProtection="1">
      <alignment horizontal="left" vertical="center"/>
    </xf>
    <xf numFmtId="0" fontId="8" fillId="0" borderId="12" xfId="0" applyFont="1" applyBorder="1" applyAlignment="1" applyProtection="1">
      <alignment horizontal="left" vertical="center"/>
    </xf>
    <xf numFmtId="44" fontId="0" fillId="0" borderId="12" xfId="0" applyNumberFormat="1" applyBorder="1" applyAlignment="1" applyProtection="1">
      <alignment vertical="center"/>
    </xf>
    <xf numFmtId="0" fontId="8" fillId="18" borderId="12" xfId="0" applyFont="1" applyFill="1" applyBorder="1" applyAlignment="1" applyProtection="1">
      <alignment horizontal="center" vertical="center"/>
    </xf>
    <xf numFmtId="0" fontId="0" fillId="18" borderId="12" xfId="0" applyFill="1" applyBorder="1" applyAlignment="1" applyProtection="1">
      <alignment horizontal="center" vertical="center" wrapText="1"/>
    </xf>
    <xf numFmtId="0" fontId="8" fillId="18" borderId="12" xfId="0" applyFont="1" applyFill="1" applyBorder="1" applyAlignment="1" applyProtection="1">
      <alignment horizontal="left" vertical="center" wrapText="1"/>
    </xf>
    <xf numFmtId="0" fontId="3" fillId="0" borderId="1" xfId="0" applyFont="1" applyBorder="1" applyAlignment="1" applyProtection="1">
      <alignment horizontal="left" vertical="center"/>
    </xf>
    <xf numFmtId="0" fontId="8" fillId="0" borderId="23" xfId="0" applyFont="1" applyBorder="1" applyAlignment="1" applyProtection="1">
      <alignment horizontal="left" vertical="center"/>
    </xf>
    <xf numFmtId="44" fontId="0" fillId="0" borderId="23" xfId="0" applyNumberFormat="1" applyBorder="1" applyAlignment="1" applyProtection="1">
      <alignment vertical="center"/>
    </xf>
    <xf numFmtId="0" fontId="8" fillId="18" borderId="23" xfId="0" applyFont="1" applyFill="1" applyBorder="1" applyAlignment="1" applyProtection="1">
      <alignment horizontal="center" vertical="center"/>
    </xf>
    <xf numFmtId="0" fontId="0" fillId="18" borderId="23" xfId="0" applyFill="1" applyBorder="1" applyAlignment="1" applyProtection="1">
      <alignment horizontal="center" vertical="center" wrapText="1"/>
    </xf>
    <xf numFmtId="0" fontId="8" fillId="18" borderId="23" xfId="0" applyFont="1" applyFill="1" applyBorder="1" applyAlignment="1" applyProtection="1">
      <alignment horizontal="left" vertical="center" wrapText="1"/>
    </xf>
    <xf numFmtId="0" fontId="3" fillId="0" borderId="78" xfId="0" applyFont="1" applyBorder="1" applyAlignment="1" applyProtection="1">
      <alignment horizontal="left" vertical="center"/>
    </xf>
    <xf numFmtId="0" fontId="8" fillId="0" borderId="70" xfId="0" applyFont="1" applyBorder="1" applyAlignment="1" applyProtection="1">
      <alignment horizontal="left" vertical="center"/>
    </xf>
    <xf numFmtId="44" fontId="0" fillId="0" borderId="70" xfId="0" applyNumberFormat="1" applyBorder="1" applyAlignment="1" applyProtection="1">
      <alignment vertical="center"/>
    </xf>
    <xf numFmtId="0" fontId="8" fillId="18" borderId="70" xfId="0" applyFont="1" applyFill="1" applyBorder="1" applyAlignment="1" applyProtection="1">
      <alignment horizontal="center" vertical="center"/>
    </xf>
    <xf numFmtId="0" fontId="0" fillId="18" borderId="70" xfId="0" applyFill="1" applyBorder="1" applyAlignment="1" applyProtection="1">
      <alignment horizontal="center" vertical="center" wrapText="1"/>
    </xf>
    <xf numFmtId="0" fontId="8" fillId="18" borderId="70" xfId="0" applyFont="1" applyFill="1" applyBorder="1" applyAlignment="1" applyProtection="1">
      <alignment horizontal="left" vertical="center" wrapText="1"/>
    </xf>
    <xf numFmtId="0" fontId="3" fillId="18" borderId="77" xfId="0" applyFont="1" applyFill="1" applyBorder="1" applyAlignment="1" applyProtection="1">
      <alignment horizontal="left" vertical="center"/>
    </xf>
    <xf numFmtId="0" fontId="8" fillId="0" borderId="79" xfId="0" applyFont="1" applyFill="1" applyBorder="1" applyAlignment="1" applyProtection="1">
      <alignment horizontal="left" vertical="center"/>
    </xf>
    <xf numFmtId="44" fontId="3" fillId="0" borderId="12" xfId="0" applyNumberFormat="1" applyFont="1" applyFill="1" applyBorder="1" applyAlignment="1" applyProtection="1">
      <alignment vertical="center"/>
    </xf>
    <xf numFmtId="0" fontId="8" fillId="0" borderId="12" xfId="0" applyFont="1" applyFill="1" applyBorder="1" applyAlignment="1" applyProtection="1">
      <alignment horizontal="center" vertical="center"/>
    </xf>
    <xf numFmtId="0" fontId="8" fillId="0" borderId="12" xfId="0" applyFont="1" applyFill="1" applyBorder="1" applyAlignment="1" applyProtection="1">
      <alignment horizontal="center" vertical="center" wrapText="1"/>
    </xf>
    <xf numFmtId="0" fontId="3" fillId="0" borderId="12" xfId="0" applyFont="1" applyFill="1" applyBorder="1" applyAlignment="1" applyProtection="1">
      <alignment horizontal="left" vertical="center" wrapText="1"/>
    </xf>
    <xf numFmtId="0" fontId="8" fillId="0" borderId="33" xfId="0" applyFont="1" applyBorder="1" applyAlignment="1" applyProtection="1">
      <alignment horizontal="left" vertical="center"/>
    </xf>
    <xf numFmtId="44" fontId="8" fillId="18" borderId="23" xfId="0" applyNumberFormat="1" applyFont="1" applyFill="1" applyBorder="1" applyAlignment="1" applyProtection="1">
      <alignment vertical="center"/>
    </xf>
    <xf numFmtId="0" fontId="8" fillId="18" borderId="23" xfId="0" applyFont="1" applyFill="1" applyBorder="1" applyAlignment="1" applyProtection="1">
      <alignment horizontal="center" vertical="center" wrapText="1"/>
    </xf>
    <xf numFmtId="0" fontId="0" fillId="18" borderId="0" xfId="0" applyFill="1" applyProtection="1"/>
    <xf numFmtId="0" fontId="8" fillId="0" borderId="23" xfId="0" applyFont="1" applyBorder="1" applyAlignment="1" applyProtection="1">
      <alignment horizontal="center" vertical="center"/>
    </xf>
    <xf numFmtId="0" fontId="8" fillId="0" borderId="23" xfId="0" applyFont="1" applyBorder="1" applyAlignment="1" applyProtection="1">
      <alignment horizontal="center" vertical="center" wrapText="1"/>
    </xf>
    <xf numFmtId="0" fontId="0" fillId="18" borderId="0" xfId="0" applyFill="1" applyAlignment="1" applyProtection="1">
      <alignment horizontal="left"/>
    </xf>
    <xf numFmtId="0" fontId="0" fillId="0" borderId="23" xfId="0" applyBorder="1" applyAlignment="1" applyProtection="1">
      <alignment horizontal="center" vertical="center" wrapText="1"/>
    </xf>
    <xf numFmtId="0" fontId="8" fillId="0" borderId="80" xfId="0" applyFont="1" applyBorder="1" applyAlignment="1" applyProtection="1">
      <alignment horizontal="left" vertical="center"/>
    </xf>
    <xf numFmtId="44" fontId="0" fillId="18" borderId="70" xfId="0" applyNumberFormat="1" applyFill="1" applyBorder="1" applyAlignment="1" applyProtection="1">
      <alignment vertical="center"/>
    </xf>
    <xf numFmtId="0" fontId="0" fillId="0" borderId="70" xfId="0" applyBorder="1" applyAlignment="1" applyProtection="1">
      <alignment horizontal="center" vertical="center" wrapText="1"/>
    </xf>
    <xf numFmtId="0" fontId="8" fillId="0" borderId="79" xfId="0" applyFont="1" applyBorder="1" applyAlignment="1" applyProtection="1">
      <alignment horizontal="left" vertical="center"/>
    </xf>
    <xf numFmtId="0" fontId="8" fillId="0" borderId="12" xfId="0" applyFont="1" applyBorder="1" applyAlignment="1" applyProtection="1">
      <alignment horizontal="center" vertical="center"/>
    </xf>
    <xf numFmtId="0" fontId="8" fillId="0" borderId="12" xfId="0" applyFont="1" applyBorder="1" applyAlignment="1" applyProtection="1">
      <alignment horizontal="center" vertical="center" wrapText="1"/>
    </xf>
    <xf numFmtId="44" fontId="0" fillId="0" borderId="23" xfId="0" applyNumberFormat="1" applyFill="1" applyBorder="1" applyAlignment="1" applyProtection="1">
      <alignment vertical="center"/>
    </xf>
    <xf numFmtId="44" fontId="0" fillId="0" borderId="70" xfId="0" applyNumberFormat="1" applyFill="1" applyBorder="1" applyAlignment="1" applyProtection="1">
      <alignment vertical="center"/>
    </xf>
    <xf numFmtId="0" fontId="8" fillId="0" borderId="70" xfId="0" applyFont="1" applyBorder="1" applyAlignment="1" applyProtection="1">
      <alignment horizontal="center" vertical="center"/>
    </xf>
    <xf numFmtId="0" fontId="8" fillId="0" borderId="70" xfId="0" applyFont="1" applyBorder="1" applyAlignment="1" applyProtection="1">
      <alignment horizontal="center" vertical="center" wrapText="1"/>
    </xf>
    <xf numFmtId="0" fontId="0" fillId="18" borderId="70" xfId="0" applyFill="1" applyBorder="1" applyAlignment="1" applyProtection="1">
      <alignment horizontal="left" vertical="center" wrapText="1"/>
    </xf>
    <xf numFmtId="0" fontId="3" fillId="18" borderId="1" xfId="0" applyFont="1" applyFill="1" applyBorder="1" applyAlignment="1" applyProtection="1">
      <alignment horizontal="left" vertical="center"/>
    </xf>
    <xf numFmtId="0" fontId="8" fillId="18" borderId="23" xfId="0" applyFont="1" applyFill="1" applyBorder="1" applyAlignment="1" applyProtection="1">
      <alignment horizontal="left" vertical="center"/>
    </xf>
    <xf numFmtId="0" fontId="8" fillId="0" borderId="0" xfId="0" applyFont="1" applyFill="1" applyProtection="1"/>
    <xf numFmtId="0" fontId="0" fillId="18" borderId="12" xfId="0" applyFill="1" applyBorder="1" applyAlignment="1" applyProtection="1">
      <alignment horizontal="left" vertical="center" wrapText="1"/>
    </xf>
    <xf numFmtId="0" fontId="8" fillId="18" borderId="70" xfId="0" applyFont="1" applyFill="1" applyBorder="1" applyAlignment="1" applyProtection="1">
      <alignment horizontal="left" vertical="center"/>
    </xf>
    <xf numFmtId="0" fontId="8" fillId="0" borderId="50" xfId="0" applyFont="1" applyBorder="1" applyAlignment="1" applyProtection="1">
      <alignment horizontal="left" vertical="center"/>
    </xf>
    <xf numFmtId="44" fontId="0" fillId="0" borderId="22" xfId="0" applyNumberFormat="1" applyBorder="1" applyAlignment="1" applyProtection="1">
      <alignment vertical="center"/>
    </xf>
    <xf numFmtId="0" fontId="8" fillId="0" borderId="22" xfId="0" applyFont="1" applyBorder="1" applyAlignment="1" applyProtection="1">
      <alignment horizontal="center" vertical="center"/>
    </xf>
    <xf numFmtId="0" fontId="8" fillId="0" borderId="22" xfId="0" applyFont="1" applyBorder="1" applyAlignment="1" applyProtection="1">
      <alignment horizontal="center" vertical="center" wrapText="1"/>
    </xf>
    <xf numFmtId="0" fontId="0" fillId="18" borderId="22" xfId="0" applyFill="1" applyBorder="1" applyAlignment="1" applyProtection="1">
      <alignment horizontal="left" vertical="center" wrapText="1"/>
    </xf>
    <xf numFmtId="0" fontId="8" fillId="0" borderId="34" xfId="0" applyFont="1" applyBorder="1" applyAlignment="1" applyProtection="1">
      <alignment horizontal="left" vertical="center"/>
    </xf>
    <xf numFmtId="44" fontId="8" fillId="0" borderId="21" xfId="0" applyNumberFormat="1" applyFont="1" applyBorder="1" applyAlignment="1" applyProtection="1">
      <alignment horizontal="right" vertical="center" wrapText="1"/>
    </xf>
    <xf numFmtId="0" fontId="8" fillId="0" borderId="21" xfId="0" applyFont="1" applyBorder="1" applyAlignment="1" applyProtection="1">
      <alignment horizontal="center" vertical="center"/>
    </xf>
    <xf numFmtId="0" fontId="8" fillId="0" borderId="21" xfId="0" applyFont="1" applyBorder="1" applyAlignment="1" applyProtection="1">
      <alignment horizontal="center" vertical="center" wrapText="1"/>
    </xf>
    <xf numFmtId="0" fontId="0" fillId="18" borderId="21" xfId="0" applyFill="1" applyBorder="1" applyAlignment="1" applyProtection="1">
      <alignment horizontal="left" vertical="center" wrapText="1"/>
    </xf>
    <xf numFmtId="0" fontId="0" fillId="0" borderId="12" xfId="0" applyBorder="1" applyAlignment="1" applyProtection="1">
      <alignment horizontal="center" vertical="center" wrapText="1"/>
    </xf>
    <xf numFmtId="0" fontId="8" fillId="0" borderId="12" xfId="0" applyFont="1" applyFill="1" applyBorder="1" applyAlignment="1" applyProtection="1">
      <alignment horizontal="left" vertical="center" wrapText="1"/>
    </xf>
    <xf numFmtId="0" fontId="8" fillId="0" borderId="50" xfId="0" applyFont="1" applyBorder="1" applyAlignment="1" applyProtection="1">
      <alignment horizontal="left" vertical="center" wrapText="1"/>
    </xf>
    <xf numFmtId="0" fontId="0" fillId="0" borderId="22" xfId="0" applyBorder="1" applyAlignment="1" applyProtection="1">
      <alignment horizontal="center" vertical="center" wrapText="1"/>
    </xf>
    <xf numFmtId="0" fontId="8" fillId="18" borderId="23" xfId="0" quotePrefix="1" applyFont="1" applyFill="1" applyBorder="1" applyAlignment="1" applyProtection="1">
      <alignment horizontal="left" vertical="center" wrapText="1"/>
    </xf>
    <xf numFmtId="0" fontId="8" fillId="0" borderId="33" xfId="0" applyFont="1" applyBorder="1" applyAlignment="1" applyProtection="1">
      <alignment horizontal="left" vertical="center" wrapText="1"/>
    </xf>
    <xf numFmtId="0" fontId="8" fillId="0" borderId="34" xfId="0" applyFont="1" applyFill="1" applyBorder="1" applyAlignment="1" applyProtection="1">
      <alignment horizontal="left" vertical="center"/>
    </xf>
    <xf numFmtId="44" fontId="0" fillId="0" borderId="21" xfId="0" applyNumberFormat="1" applyFill="1" applyBorder="1" applyAlignment="1" applyProtection="1">
      <alignment vertical="center"/>
    </xf>
    <xf numFmtId="0" fontId="8" fillId="0" borderId="21" xfId="0" applyFont="1" applyFill="1" applyBorder="1" applyAlignment="1" applyProtection="1">
      <alignment horizontal="center" vertical="center"/>
    </xf>
    <xf numFmtId="0" fontId="0" fillId="0" borderId="21" xfId="0" applyFill="1" applyBorder="1" applyAlignment="1" applyProtection="1">
      <alignment horizontal="center" vertical="center" wrapText="1"/>
    </xf>
    <xf numFmtId="0" fontId="8" fillId="0" borderId="21" xfId="0" applyFont="1" applyFill="1" applyBorder="1" applyAlignment="1" applyProtection="1">
      <alignment horizontal="left" vertical="center" wrapText="1"/>
    </xf>
    <xf numFmtId="0" fontId="8" fillId="0" borderId="12" xfId="0" applyFont="1" applyBorder="1" applyAlignment="1" applyProtection="1">
      <alignment horizontal="left" vertical="center" wrapText="1"/>
    </xf>
    <xf numFmtId="0" fontId="3" fillId="0" borderId="81" xfId="0" applyFont="1" applyBorder="1" applyAlignment="1" applyProtection="1">
      <alignment horizontal="left" vertical="center"/>
    </xf>
    <xf numFmtId="0" fontId="8" fillId="0" borderId="70" xfId="0" applyFont="1" applyBorder="1" applyAlignment="1" applyProtection="1">
      <alignment horizontal="left" vertical="center" wrapText="1"/>
    </xf>
    <xf numFmtId="0" fontId="8" fillId="0" borderId="38" xfId="0" applyFont="1" applyBorder="1" applyProtection="1"/>
    <xf numFmtId="0" fontId="8" fillId="0" borderId="23" xfId="0" applyFont="1" applyBorder="1" applyAlignment="1" applyProtection="1">
      <alignment horizontal="left" vertical="center" wrapText="1"/>
    </xf>
    <xf numFmtId="0" fontId="8" fillId="0" borderId="23" xfId="0" applyFont="1" applyFill="1" applyBorder="1" applyAlignment="1" applyProtection="1">
      <alignment horizontal="left" vertical="center" wrapText="1"/>
    </xf>
    <xf numFmtId="0" fontId="8" fillId="18" borderId="33" xfId="0" applyFont="1" applyFill="1" applyBorder="1" applyAlignment="1" applyProtection="1">
      <alignment horizontal="left" vertical="center"/>
    </xf>
    <xf numFmtId="44" fontId="8" fillId="0" borderId="23" xfId="0" applyNumberFormat="1" applyFont="1" applyBorder="1" applyAlignment="1" applyProtection="1">
      <alignment horizontal="right" vertical="center"/>
    </xf>
    <xf numFmtId="0" fontId="8" fillId="18" borderId="34" xfId="0" applyFont="1" applyFill="1" applyBorder="1" applyAlignment="1" applyProtection="1">
      <alignment horizontal="left" vertical="center"/>
    </xf>
    <xf numFmtId="44" fontId="0" fillId="0" borderId="22" xfId="0" applyNumberFormat="1" applyBorder="1" applyAlignment="1" applyProtection="1">
      <alignment vertical="center" wrapText="1"/>
    </xf>
    <xf numFmtId="0" fontId="8" fillId="18" borderId="21" xfId="0" applyFont="1" applyFill="1" applyBorder="1" applyAlignment="1" applyProtection="1">
      <alignment horizontal="left" vertical="center" wrapText="1"/>
    </xf>
    <xf numFmtId="0" fontId="8" fillId="18" borderId="70" xfId="0" applyFont="1" applyFill="1" applyBorder="1" applyAlignment="1" applyProtection="1">
      <alignment horizontal="center" vertical="center" wrapText="1"/>
    </xf>
    <xf numFmtId="0" fontId="3" fillId="4" borderId="82" xfId="0" applyFont="1" applyFill="1" applyBorder="1" applyAlignment="1" applyProtection="1">
      <alignment horizontal="center" vertical="center" wrapText="1"/>
    </xf>
    <xf numFmtId="0" fontId="3" fillId="0" borderId="83" xfId="0" applyFont="1" applyFill="1" applyBorder="1" applyAlignment="1" applyProtection="1">
      <alignment horizontal="center" vertical="center" wrapText="1"/>
    </xf>
    <xf numFmtId="173" fontId="8" fillId="0" borderId="23" xfId="0" applyNumberFormat="1" applyFont="1" applyFill="1" applyBorder="1" applyAlignment="1" applyProtection="1">
      <alignment horizontal="center" vertical="center"/>
    </xf>
    <xf numFmtId="42" fontId="8" fillId="0" borderId="23" xfId="0" applyNumberFormat="1" applyFont="1" applyBorder="1" applyAlignment="1" applyProtection="1">
      <alignment vertical="center"/>
    </xf>
    <xf numFmtId="173" fontId="0" fillId="0" borderId="23" xfId="0" applyNumberFormat="1" applyFill="1" applyBorder="1" applyAlignment="1" applyProtection="1">
      <alignment horizontal="center" vertical="center"/>
    </xf>
    <xf numFmtId="42" fontId="3" fillId="4" borderId="23" xfId="0" applyNumberFormat="1" applyFont="1" applyFill="1" applyBorder="1" applyAlignment="1" applyProtection="1">
      <alignment horizontal="right" vertical="center"/>
    </xf>
    <xf numFmtId="173" fontId="3" fillId="4" borderId="23" xfId="0" applyNumberFormat="1" applyFont="1" applyFill="1" applyBorder="1" applyAlignment="1" applyProtection="1">
      <alignment horizontal="center" vertical="center"/>
    </xf>
    <xf numFmtId="0" fontId="3" fillId="0" borderId="0" xfId="0" applyFont="1" applyBorder="1" applyProtection="1"/>
    <xf numFmtId="0" fontId="0" fillId="18" borderId="23" xfId="0" applyNumberFormat="1" applyFill="1" applyBorder="1" applyAlignment="1" applyProtection="1">
      <alignment horizontal="center" vertical="center"/>
    </xf>
    <xf numFmtId="42" fontId="8" fillId="0" borderId="23" xfId="0" applyNumberFormat="1" applyFont="1" applyFill="1" applyBorder="1" applyAlignment="1" applyProtection="1">
      <alignment vertical="center"/>
    </xf>
    <xf numFmtId="44" fontId="8" fillId="18" borderId="23" xfId="0" applyNumberFormat="1" applyFont="1" applyFill="1" applyBorder="1" applyAlignment="1" applyProtection="1">
      <alignment horizontal="center" vertical="center" wrapText="1"/>
    </xf>
    <xf numFmtId="0" fontId="8" fillId="18" borderId="21" xfId="0" applyNumberFormat="1" applyFont="1" applyFill="1" applyBorder="1" applyAlignment="1" applyProtection="1">
      <alignment horizontal="center" vertical="center"/>
    </xf>
    <xf numFmtId="42" fontId="8" fillId="0" borderId="21" xfId="0" applyNumberFormat="1" applyFont="1" applyFill="1" applyBorder="1" applyAlignment="1" applyProtection="1">
      <alignment vertical="center" wrapText="1"/>
    </xf>
    <xf numFmtId="0" fontId="3" fillId="0" borderId="39" xfId="0" applyFont="1" applyBorder="1" applyProtection="1"/>
    <xf numFmtId="42" fontId="0" fillId="0" borderId="23" xfId="0" applyNumberFormat="1" applyBorder="1" applyAlignment="1" applyProtection="1">
      <alignment vertical="center"/>
    </xf>
    <xf numFmtId="0" fontId="3" fillId="0" borderId="81" xfId="0" applyFont="1" applyBorder="1" applyProtection="1"/>
    <xf numFmtId="42" fontId="0" fillId="18" borderId="70" xfId="0" applyNumberFormat="1" applyFill="1" applyBorder="1" applyAlignment="1" applyProtection="1">
      <alignment vertical="center"/>
    </xf>
    <xf numFmtId="42" fontId="8" fillId="0" borderId="70" xfId="0" applyNumberFormat="1" applyFont="1" applyFill="1" applyBorder="1" applyAlignment="1" applyProtection="1">
      <alignment vertical="center"/>
    </xf>
    <xf numFmtId="44" fontId="0" fillId="0" borderId="0" xfId="0" applyNumberFormat="1" applyAlignment="1" applyProtection="1">
      <alignment vertical="center"/>
    </xf>
    <xf numFmtId="0" fontId="3" fillId="4" borderId="46" xfId="0" applyFont="1" applyFill="1" applyBorder="1" applyProtection="1"/>
    <xf numFmtId="44" fontId="0" fillId="4" borderId="46" xfId="0" applyNumberFormat="1" applyFill="1" applyBorder="1" applyAlignment="1" applyProtection="1">
      <alignment vertical="center"/>
    </xf>
    <xf numFmtId="0" fontId="0" fillId="4" borderId="46" xfId="0" applyFill="1" applyBorder="1" applyProtection="1"/>
    <xf numFmtId="0" fontId="0" fillId="4" borderId="46" xfId="0" applyFill="1" applyBorder="1" applyAlignment="1" applyProtection="1">
      <alignment horizontal="center" vertical="center" wrapText="1"/>
    </xf>
    <xf numFmtId="42" fontId="3" fillId="0" borderId="38" xfId="0" applyNumberFormat="1" applyFont="1" applyFill="1" applyBorder="1" applyAlignment="1" applyProtection="1">
      <alignment vertical="center" wrapText="1"/>
    </xf>
    <xf numFmtId="0" fontId="3" fillId="4" borderId="0" xfId="0" applyFont="1" applyFill="1" applyBorder="1" applyProtection="1"/>
    <xf numFmtId="44" fontId="0" fillId="4" borderId="0" xfId="0" applyNumberFormat="1" applyFill="1" applyBorder="1" applyAlignment="1" applyProtection="1">
      <alignment vertical="center"/>
    </xf>
    <xf numFmtId="0" fontId="0" fillId="4" borderId="50" xfId="0" applyFill="1" applyBorder="1" applyAlignment="1" applyProtection="1">
      <alignment horizontal="center" vertical="center" wrapText="1"/>
    </xf>
    <xf numFmtId="0" fontId="3" fillId="4" borderId="23" xfId="0" applyFont="1" applyFill="1" applyBorder="1" applyAlignment="1" applyProtection="1">
      <alignment horizontal="center" vertical="center"/>
    </xf>
    <xf numFmtId="44" fontId="3" fillId="4" borderId="23" xfId="0" applyNumberFormat="1" applyFont="1" applyFill="1" applyBorder="1" applyAlignment="1" applyProtection="1">
      <alignment horizontal="center" vertical="center"/>
    </xf>
    <xf numFmtId="0" fontId="3" fillId="4" borderId="23" xfId="0" applyFont="1" applyFill="1" applyBorder="1" applyAlignment="1" applyProtection="1">
      <alignment horizontal="center" vertical="center" wrapText="1"/>
    </xf>
    <xf numFmtId="0" fontId="8" fillId="0" borderId="23" xfId="0" applyFont="1" applyBorder="1" applyAlignment="1" applyProtection="1">
      <alignment horizontal="center"/>
    </xf>
    <xf numFmtId="42" fontId="0" fillId="0" borderId="23" xfId="0" applyNumberFormat="1" applyBorder="1" applyProtection="1"/>
    <xf numFmtId="42" fontId="0" fillId="0" borderId="23" xfId="0" applyNumberFormat="1" applyBorder="1" applyAlignment="1" applyProtection="1">
      <alignment horizontal="right" vertical="center"/>
    </xf>
    <xf numFmtId="42" fontId="0" fillId="0" borderId="23" xfId="0" applyNumberFormat="1" applyBorder="1" applyAlignment="1" applyProtection="1">
      <alignment horizontal="right"/>
    </xf>
    <xf numFmtId="42" fontId="0" fillId="0" borderId="23" xfId="0" applyNumberFormat="1" applyBorder="1" applyAlignment="1" applyProtection="1">
      <alignment vertical="center" wrapText="1"/>
    </xf>
    <xf numFmtId="0" fontId="0" fillId="0" borderId="0" xfId="0" applyAlignment="1" applyProtection="1">
      <alignment wrapText="1"/>
    </xf>
    <xf numFmtId="0" fontId="24" fillId="0" borderId="0" xfId="0" applyFont="1" applyProtection="1"/>
    <xf numFmtId="0" fontId="3" fillId="18" borderId="0" xfId="0" applyFont="1" applyFill="1" applyProtection="1"/>
    <xf numFmtId="44" fontId="3" fillId="18" borderId="0" xfId="0" applyNumberFormat="1" applyFont="1" applyFill="1" applyProtection="1"/>
    <xf numFmtId="42" fontId="0" fillId="18" borderId="0" xfId="0" applyNumberFormat="1" applyFill="1" applyProtection="1"/>
    <xf numFmtId="42" fontId="0" fillId="18" borderId="0" xfId="0" applyNumberFormat="1" applyFill="1" applyAlignment="1" applyProtection="1">
      <alignment wrapText="1"/>
    </xf>
    <xf numFmtId="44" fontId="0" fillId="18" borderId="0" xfId="0" applyNumberFormat="1" applyFill="1" applyProtection="1"/>
    <xf numFmtId="42" fontId="8" fillId="18" borderId="0" xfId="0" applyNumberFormat="1" applyFont="1" applyFill="1" applyProtection="1"/>
    <xf numFmtId="42" fontId="8" fillId="18" borderId="0" xfId="0" applyNumberFormat="1" applyFont="1" applyFill="1" applyAlignment="1" applyProtection="1">
      <alignment wrapText="1"/>
    </xf>
    <xf numFmtId="0" fontId="3" fillId="4" borderId="23" xfId="0" applyFont="1" applyFill="1" applyBorder="1" applyAlignment="1" applyProtection="1">
      <alignment vertical="center"/>
    </xf>
    <xf numFmtId="0" fontId="3" fillId="4" borderId="23" xfId="0" applyFont="1" applyFill="1" applyBorder="1" applyAlignment="1" applyProtection="1">
      <alignment horizontal="right" vertical="center"/>
    </xf>
    <xf numFmtId="0" fontId="3" fillId="4" borderId="23" xfId="0" applyFont="1" applyFill="1" applyBorder="1" applyAlignment="1" applyProtection="1">
      <alignment horizontal="right" vertical="center" wrapText="1"/>
    </xf>
    <xf numFmtId="0" fontId="3" fillId="4" borderId="23" xfId="0" applyFont="1" applyFill="1" applyBorder="1" applyAlignment="1" applyProtection="1">
      <alignment horizontal="left" vertical="center"/>
    </xf>
    <xf numFmtId="0" fontId="3" fillId="4" borderId="23" xfId="0" applyFont="1" applyFill="1" applyBorder="1" applyProtection="1"/>
    <xf numFmtId="0" fontId="3" fillId="4" borderId="23" xfId="0" applyFont="1" applyFill="1" applyBorder="1" applyAlignment="1" applyProtection="1">
      <alignment vertical="center" wrapText="1"/>
    </xf>
    <xf numFmtId="42" fontId="3" fillId="4" borderId="23" xfId="0" applyNumberFormat="1" applyFont="1" applyFill="1" applyBorder="1" applyAlignment="1" applyProtection="1">
      <alignment vertical="center"/>
    </xf>
    <xf numFmtId="44" fontId="0" fillId="18" borderId="23" xfId="0" applyNumberFormat="1" applyFill="1" applyBorder="1" applyAlignment="1" applyProtection="1">
      <alignment horizontal="center" vertical="center"/>
    </xf>
    <xf numFmtId="0" fontId="8" fillId="0" borderId="23" xfId="0" applyFont="1" applyBorder="1" applyAlignment="1" applyProtection="1">
      <alignment vertical="center" wrapText="1"/>
    </xf>
    <xf numFmtId="0" fontId="0" fillId="0" borderId="23" xfId="0" applyBorder="1" applyAlignment="1" applyProtection="1">
      <alignment vertical="center"/>
    </xf>
    <xf numFmtId="0" fontId="0" fillId="18" borderId="23" xfId="0" applyFill="1" applyBorder="1" applyAlignment="1" applyProtection="1">
      <alignment vertical="center"/>
    </xf>
    <xf numFmtId="42" fontId="8" fillId="0" borderId="23" xfId="0" applyNumberFormat="1" applyFont="1" applyBorder="1" applyAlignment="1" applyProtection="1">
      <alignment vertical="center" wrapText="1"/>
    </xf>
    <xf numFmtId="44" fontId="8" fillId="0" borderId="23" xfId="0" applyNumberFormat="1" applyFont="1" applyBorder="1" applyAlignment="1" applyProtection="1">
      <alignment horizontal="center" vertical="center"/>
    </xf>
    <xf numFmtId="0" fontId="8" fillId="0" borderId="23" xfId="0" applyFont="1" applyBorder="1" applyAlignment="1" applyProtection="1">
      <alignment vertical="center"/>
    </xf>
    <xf numFmtId="42" fontId="8" fillId="0" borderId="0" xfId="0" applyNumberFormat="1" applyFont="1" applyBorder="1" applyAlignment="1" applyProtection="1">
      <alignment vertical="center" wrapText="1"/>
    </xf>
    <xf numFmtId="0" fontId="3" fillId="4" borderId="40" xfId="0" applyFont="1" applyFill="1" applyBorder="1" applyProtection="1"/>
    <xf numFmtId="0" fontId="0" fillId="4" borderId="34" xfId="0" applyFill="1" applyBorder="1" applyAlignment="1" applyProtection="1">
      <alignment vertical="center" wrapText="1"/>
    </xf>
    <xf numFmtId="44" fontId="3" fillId="4" borderId="23" xfId="0" applyNumberFormat="1" applyFont="1" applyFill="1" applyBorder="1" applyAlignment="1" applyProtection="1">
      <alignment vertical="center"/>
    </xf>
    <xf numFmtId="42" fontId="3" fillId="4" borderId="0" xfId="0" applyNumberFormat="1" applyFont="1" applyFill="1" applyBorder="1" applyAlignment="1" applyProtection="1">
      <alignment vertical="center" wrapText="1"/>
    </xf>
    <xf numFmtId="0" fontId="0" fillId="0" borderId="39" xfId="0" applyBorder="1" applyAlignment="1" applyProtection="1">
      <alignment vertical="center" wrapText="1"/>
    </xf>
    <xf numFmtId="0" fontId="8" fillId="0" borderId="21" xfId="0" applyFont="1" applyBorder="1" applyAlignment="1" applyProtection="1">
      <alignment vertical="center"/>
    </xf>
    <xf numFmtId="0" fontId="8" fillId="0" borderId="21" xfId="0" applyFont="1" applyBorder="1" applyAlignment="1" applyProtection="1">
      <alignment horizontal="right" vertical="center"/>
    </xf>
    <xf numFmtId="0" fontId="0" fillId="0" borderId="21" xfId="0" applyBorder="1" applyAlignment="1" applyProtection="1">
      <alignment vertical="center"/>
    </xf>
    <xf numFmtId="44" fontId="0" fillId="0" borderId="21" xfId="0" applyNumberFormat="1" applyBorder="1" applyAlignment="1" applyProtection="1">
      <alignment vertical="center"/>
    </xf>
    <xf numFmtId="42" fontId="0" fillId="0" borderId="21" xfId="0" applyNumberFormat="1" applyBorder="1" applyAlignment="1" applyProtection="1">
      <alignment vertical="center"/>
    </xf>
    <xf numFmtId="42" fontId="0" fillId="0" borderId="0" xfId="0" applyNumberFormat="1" applyBorder="1" applyAlignment="1" applyProtection="1">
      <alignment vertical="center" wrapText="1"/>
    </xf>
    <xf numFmtId="0" fontId="8" fillId="18" borderId="0" xfId="0" applyFont="1" applyFill="1" applyProtection="1"/>
    <xf numFmtId="0" fontId="8" fillId="0" borderId="1" xfId="0" applyFont="1" applyBorder="1" applyAlignment="1" applyProtection="1">
      <alignment vertical="center"/>
    </xf>
    <xf numFmtId="0" fontId="8" fillId="0" borderId="1" xfId="0" applyFont="1" applyBorder="1" applyAlignment="1" applyProtection="1">
      <alignment horizontal="right" vertical="center"/>
    </xf>
    <xf numFmtId="0" fontId="0" fillId="0" borderId="1" xfId="0" applyBorder="1" applyAlignment="1" applyProtection="1">
      <alignment vertical="center"/>
    </xf>
    <xf numFmtId="44" fontId="0" fillId="0" borderId="1" xfId="0" applyNumberFormat="1" applyBorder="1" applyAlignment="1" applyProtection="1">
      <alignment vertical="center"/>
    </xf>
    <xf numFmtId="42" fontId="0" fillId="0" borderId="1" xfId="0" applyNumberFormat="1" applyBorder="1" applyAlignment="1" applyProtection="1">
      <alignment vertical="center"/>
    </xf>
    <xf numFmtId="0" fontId="8" fillId="0" borderId="49" xfId="0" applyFont="1" applyFill="1" applyBorder="1" applyProtection="1"/>
    <xf numFmtId="0" fontId="0" fillId="0" borderId="44" xfId="0" applyFill="1" applyBorder="1" applyProtection="1"/>
    <xf numFmtId="0" fontId="0" fillId="0" borderId="50" xfId="0" applyBorder="1" applyAlignment="1" applyProtection="1">
      <alignment vertical="center" wrapText="1"/>
    </xf>
    <xf numFmtId="0" fontId="8" fillId="0" borderId="22" xfId="0" applyFont="1" applyBorder="1" applyAlignment="1" applyProtection="1">
      <alignment vertical="center"/>
    </xf>
    <xf numFmtId="0" fontId="8" fillId="0" borderId="22" xfId="0" applyFont="1" applyBorder="1" applyAlignment="1" applyProtection="1">
      <alignment horizontal="right" vertical="center"/>
    </xf>
    <xf numFmtId="0" fontId="0" fillId="0" borderId="22" xfId="0" applyBorder="1" applyAlignment="1" applyProtection="1">
      <alignment vertical="center"/>
    </xf>
    <xf numFmtId="42" fontId="0" fillId="0" borderId="22" xfId="0" applyNumberFormat="1" applyBorder="1" applyAlignment="1" applyProtection="1">
      <alignment vertical="center"/>
    </xf>
    <xf numFmtId="0" fontId="0" fillId="18" borderId="21" xfId="0" applyFill="1" applyBorder="1" applyAlignment="1" applyProtection="1">
      <alignment vertical="center"/>
    </xf>
    <xf numFmtId="0" fontId="0" fillId="4" borderId="23" xfId="0" applyFill="1" applyBorder="1" applyAlignment="1" applyProtection="1">
      <alignment vertical="center"/>
    </xf>
    <xf numFmtId="44" fontId="0" fillId="4" borderId="23" xfId="0" applyNumberFormat="1" applyFill="1" applyBorder="1" applyAlignment="1" applyProtection="1">
      <alignment vertical="center"/>
    </xf>
    <xf numFmtId="42" fontId="0" fillId="4" borderId="23" xfId="0" applyNumberFormat="1" applyFill="1" applyBorder="1" applyAlignment="1" applyProtection="1">
      <alignment vertical="center"/>
    </xf>
    <xf numFmtId="42" fontId="0" fillId="0" borderId="0" xfId="0" applyNumberFormat="1" applyAlignment="1" applyProtection="1">
      <alignment wrapText="1"/>
    </xf>
    <xf numFmtId="0" fontId="0" fillId="0" borderId="45" xfId="0" applyBorder="1" applyAlignment="1" applyProtection="1">
      <alignment vertical="center"/>
    </xf>
    <xf numFmtId="0" fontId="8" fillId="0" borderId="59" xfId="0" applyFont="1" applyBorder="1" applyAlignment="1" applyProtection="1">
      <alignment horizontal="right" vertical="center"/>
    </xf>
    <xf numFmtId="0" fontId="0" fillId="0" borderId="34" xfId="0" applyBorder="1" applyAlignment="1" applyProtection="1">
      <alignment vertical="center"/>
    </xf>
    <xf numFmtId="0" fontId="0" fillId="0" borderId="0" xfId="0" applyBorder="1" applyAlignment="1" applyProtection="1">
      <alignment vertical="center"/>
    </xf>
    <xf numFmtId="44" fontId="0" fillId="0" borderId="0" xfId="0" applyNumberFormat="1" applyBorder="1" applyAlignment="1" applyProtection="1">
      <alignment vertical="center"/>
    </xf>
    <xf numFmtId="42" fontId="0" fillId="0" borderId="0" xfId="0" applyNumberFormat="1" applyBorder="1" applyAlignment="1" applyProtection="1">
      <alignment vertical="center"/>
    </xf>
    <xf numFmtId="0" fontId="0" fillId="0" borderId="45" xfId="0" applyBorder="1" applyProtection="1"/>
    <xf numFmtId="0" fontId="0" fillId="0" borderId="59" xfId="0" applyBorder="1" applyProtection="1"/>
    <xf numFmtId="44" fontId="0" fillId="0" borderId="0" xfId="0" applyNumberFormat="1" applyBorder="1" applyProtection="1"/>
    <xf numFmtId="42" fontId="0" fillId="0" borderId="0" xfId="0" applyNumberFormat="1" applyBorder="1" applyAlignment="1" applyProtection="1">
      <alignment wrapText="1"/>
    </xf>
    <xf numFmtId="0" fontId="3" fillId="4" borderId="45" xfId="0" applyFont="1" applyFill="1" applyBorder="1" applyProtection="1"/>
    <xf numFmtId="0" fontId="3" fillId="4" borderId="59" xfId="0" applyFont="1" applyFill="1" applyBorder="1" applyProtection="1"/>
    <xf numFmtId="0" fontId="3" fillId="4" borderId="33" xfId="0" applyFont="1" applyFill="1" applyBorder="1" applyProtection="1"/>
    <xf numFmtId="44" fontId="0" fillId="0" borderId="0" xfId="0" applyNumberFormat="1" applyProtection="1"/>
    <xf numFmtId="0" fontId="8" fillId="5" borderId="40" xfId="0" applyFont="1" applyFill="1" applyBorder="1" applyAlignment="1" applyProtection="1">
      <alignment vertical="center"/>
    </xf>
    <xf numFmtId="0" fontId="8" fillId="5" borderId="49" xfId="0" applyFont="1" applyFill="1" applyBorder="1" applyAlignment="1" applyProtection="1">
      <alignment vertical="center"/>
    </xf>
    <xf numFmtId="0" fontId="8" fillId="5" borderId="45" xfId="0" applyFont="1" applyFill="1" applyBorder="1" applyAlignment="1" applyProtection="1">
      <alignment vertical="center"/>
    </xf>
    <xf numFmtId="0" fontId="8" fillId="0" borderId="22" xfId="0" applyFont="1" applyBorder="1" applyAlignment="1" applyProtection="1">
      <alignment vertical="center" wrapText="1"/>
    </xf>
    <xf numFmtId="0" fontId="3" fillId="2" borderId="23" xfId="0" applyFont="1" applyFill="1" applyBorder="1" applyAlignment="1">
      <alignment horizontal="left" vertical="center" wrapText="1"/>
    </xf>
    <xf numFmtId="164" fontId="3" fillId="2" borderId="23" xfId="0" applyNumberFormat="1" applyFont="1" applyFill="1" applyBorder="1" applyAlignment="1">
      <alignment horizontal="center" vertical="center"/>
    </xf>
    <xf numFmtId="49" fontId="3" fillId="2" borderId="23" xfId="0" applyNumberFormat="1" applyFont="1" applyFill="1" applyBorder="1" applyAlignment="1">
      <alignment horizontal="center" vertical="center"/>
    </xf>
    <xf numFmtId="0" fontId="15" fillId="4" borderId="20" xfId="0" applyFont="1" applyFill="1" applyBorder="1" applyAlignment="1" applyProtection="1">
      <alignment horizontal="left"/>
    </xf>
    <xf numFmtId="0" fontId="15" fillId="4" borderId="37" xfId="0" applyFont="1" applyFill="1" applyBorder="1" applyAlignment="1" applyProtection="1">
      <alignment horizontal="left"/>
    </xf>
    <xf numFmtId="0" fontId="13" fillId="4" borderId="18" xfId="0" applyFont="1" applyFill="1" applyBorder="1" applyAlignment="1" applyProtection="1">
      <alignment horizontal="left"/>
    </xf>
    <xf numFmtId="1" fontId="13" fillId="0" borderId="0" xfId="0" applyNumberFormat="1" applyFont="1" applyFill="1" applyBorder="1" applyAlignment="1" applyProtection="1">
      <alignment horizontal="left"/>
    </xf>
    <xf numFmtId="1" fontId="8" fillId="6" borderId="23" xfId="0" applyNumberFormat="1" applyFont="1" applyFill="1" applyBorder="1" applyAlignment="1" applyProtection="1">
      <alignment horizontal="right" vertical="center"/>
      <protection locked="0"/>
    </xf>
    <xf numFmtId="14" fontId="8" fillId="6" borderId="23" xfId="0" applyNumberFormat="1" applyFont="1" applyFill="1" applyBorder="1" applyAlignment="1" applyProtection="1">
      <alignment horizontal="right" vertical="center"/>
      <protection locked="0"/>
    </xf>
    <xf numFmtId="0" fontId="7" fillId="0" borderId="0" xfId="13" applyAlignment="1" applyProtection="1">
      <alignment vertical="center"/>
    </xf>
    <xf numFmtId="0" fontId="24" fillId="0" borderId="0" xfId="0" applyFont="1" applyFill="1" applyBorder="1" applyAlignment="1" applyProtection="1">
      <alignment vertical="center"/>
    </xf>
    <xf numFmtId="0" fontId="3" fillId="0" borderId="44" xfId="0" applyFont="1" applyFill="1" applyBorder="1" applyAlignment="1" applyProtection="1">
      <alignment vertical="center"/>
    </xf>
    <xf numFmtId="0" fontId="3" fillId="23" borderId="45" xfId="0" applyFont="1" applyFill="1" applyBorder="1" applyAlignment="1" applyProtection="1">
      <alignment vertical="center"/>
    </xf>
    <xf numFmtId="0" fontId="3" fillId="23" borderId="33" xfId="0" applyFont="1" applyFill="1" applyBorder="1" applyAlignment="1" applyProtection="1">
      <alignment vertical="center"/>
    </xf>
    <xf numFmtId="0" fontId="0" fillId="23" borderId="59" xfId="0" applyFill="1" applyBorder="1" applyAlignment="1" applyProtection="1">
      <alignment vertical="center"/>
    </xf>
    <xf numFmtId="0" fontId="0" fillId="23" borderId="33" xfId="0" applyFill="1" applyBorder="1" applyAlignment="1" applyProtection="1">
      <alignment vertical="center"/>
    </xf>
    <xf numFmtId="0" fontId="3" fillId="23" borderId="59" xfId="0" applyFont="1" applyFill="1" applyBorder="1" applyAlignment="1" applyProtection="1">
      <alignment vertical="center"/>
    </xf>
    <xf numFmtId="0" fontId="3" fillId="0" borderId="0" xfId="0" applyFont="1" applyFill="1" applyAlignment="1" applyProtection="1">
      <alignment horizontal="left" vertical="center"/>
    </xf>
    <xf numFmtId="0" fontId="0" fillId="0" borderId="0" xfId="0" applyFill="1" applyAlignment="1" applyProtection="1">
      <alignment vertical="center"/>
    </xf>
    <xf numFmtId="0" fontId="0" fillId="0" borderId="84" xfId="0" applyBorder="1" applyAlignment="1" applyProtection="1">
      <alignment vertical="center"/>
    </xf>
    <xf numFmtId="44" fontId="0" fillId="0" borderId="23" xfId="0" applyNumberFormat="1" applyBorder="1" applyAlignment="1" applyProtection="1">
      <alignment horizontal="right" vertical="center"/>
    </xf>
    <xf numFmtId="44" fontId="0" fillId="0" borderId="33" xfId="0" applyNumberFormat="1" applyBorder="1" applyAlignment="1" applyProtection="1">
      <alignment horizontal="right" vertical="center"/>
    </xf>
    <xf numFmtId="44" fontId="0" fillId="0" borderId="33" xfId="0" applyNumberFormat="1" applyFill="1" applyBorder="1" applyAlignment="1" applyProtection="1">
      <alignment vertical="center"/>
    </xf>
    <xf numFmtId="44" fontId="8" fillId="0" borderId="45" xfId="0" applyNumberFormat="1" applyFont="1" applyBorder="1" applyAlignment="1" applyProtection="1">
      <alignment horizontal="right" vertical="center"/>
    </xf>
    <xf numFmtId="44" fontId="8" fillId="0" borderId="85" xfId="0" applyNumberFormat="1" applyFont="1" applyBorder="1" applyAlignment="1" applyProtection="1">
      <alignment horizontal="right" vertical="center"/>
    </xf>
    <xf numFmtId="171" fontId="8" fillId="0" borderId="86" xfId="0" applyNumberFormat="1" applyFont="1" applyBorder="1" applyAlignment="1" applyProtection="1">
      <alignment horizontal="right" vertical="center"/>
    </xf>
    <xf numFmtId="44" fontId="0" fillId="0" borderId="87" xfId="0" applyNumberFormat="1" applyBorder="1" applyAlignment="1" applyProtection="1">
      <alignment vertical="center"/>
    </xf>
    <xf numFmtId="171" fontId="0" fillId="0" borderId="88" xfId="0" applyNumberFormat="1" applyBorder="1" applyAlignment="1" applyProtection="1">
      <alignment horizontal="right" vertical="center"/>
    </xf>
    <xf numFmtId="171" fontId="0" fillId="0" borderId="15" xfId="0" applyNumberFormat="1" applyBorder="1" applyAlignment="1" applyProtection="1">
      <alignment horizontal="right" vertical="center"/>
    </xf>
    <xf numFmtId="171" fontId="0" fillId="0" borderId="47" xfId="0" applyNumberFormat="1" applyBorder="1" applyAlignment="1" applyProtection="1">
      <alignment horizontal="right" vertical="center"/>
    </xf>
    <xf numFmtId="44" fontId="0" fillId="0" borderId="45" xfId="0" applyNumberFormat="1" applyBorder="1" applyAlignment="1" applyProtection="1">
      <alignment horizontal="right" vertical="center"/>
    </xf>
    <xf numFmtId="171" fontId="0" fillId="0" borderId="89" xfId="0" applyNumberFormat="1" applyBorder="1" applyAlignment="1" applyProtection="1">
      <alignment horizontal="right" vertical="center"/>
    </xf>
    <xf numFmtId="171" fontId="0" fillId="0" borderId="90" xfId="0" applyNumberFormat="1" applyBorder="1" applyAlignment="1" applyProtection="1">
      <alignment horizontal="right" vertical="center"/>
    </xf>
    <xf numFmtId="171" fontId="0" fillId="0" borderId="48" xfId="0" applyNumberFormat="1" applyFill="1" applyBorder="1" applyAlignment="1" applyProtection="1">
      <alignment horizontal="right" vertical="center"/>
    </xf>
    <xf numFmtId="171" fontId="0" fillId="0" borderId="91" xfId="0" applyNumberFormat="1" applyBorder="1" applyAlignment="1" applyProtection="1">
      <alignment horizontal="right" vertical="center"/>
    </xf>
    <xf numFmtId="171" fontId="0" fillId="0" borderId="32" xfId="0" applyNumberFormat="1" applyFill="1" applyBorder="1" applyAlignment="1" applyProtection="1">
      <alignment horizontal="right" vertical="center"/>
    </xf>
    <xf numFmtId="171" fontId="3" fillId="5" borderId="6" xfId="0" applyNumberFormat="1" applyFont="1" applyFill="1" applyBorder="1" applyAlignment="1" applyProtection="1">
      <alignment horizontal="right" vertical="center"/>
    </xf>
    <xf numFmtId="171" fontId="3" fillId="5" borderId="5" xfId="0" applyNumberFormat="1" applyFont="1" applyFill="1" applyBorder="1" applyAlignment="1" applyProtection="1">
      <alignment horizontal="right" vertical="center"/>
    </xf>
    <xf numFmtId="0" fontId="3" fillId="5" borderId="92" xfId="0" applyFont="1" applyFill="1" applyBorder="1" applyAlignment="1" applyProtection="1">
      <alignment vertical="center"/>
    </xf>
    <xf numFmtId="44" fontId="3" fillId="5" borderId="81" xfId="0" applyNumberFormat="1" applyFont="1" applyFill="1" applyBorder="1" applyAlignment="1" applyProtection="1">
      <alignment horizontal="right" vertical="center"/>
    </xf>
    <xf numFmtId="44" fontId="3" fillId="5" borderId="93" xfId="0" applyNumberFormat="1" applyFont="1" applyFill="1" applyBorder="1" applyAlignment="1" applyProtection="1">
      <alignment horizontal="right" vertical="center"/>
    </xf>
    <xf numFmtId="171" fontId="3" fillId="5" borderId="94" xfId="0" applyNumberFormat="1" applyFont="1" applyFill="1" applyBorder="1" applyAlignment="1" applyProtection="1">
      <alignment horizontal="right" vertical="center"/>
    </xf>
    <xf numFmtId="0" fontId="3" fillId="5" borderId="95" xfId="0" applyFont="1" applyFill="1" applyBorder="1" applyAlignment="1" applyProtection="1">
      <alignment vertical="center"/>
    </xf>
    <xf numFmtId="44" fontId="3" fillId="5" borderId="70" xfId="0" applyNumberFormat="1" applyFont="1" applyFill="1" applyBorder="1" applyAlignment="1" applyProtection="1">
      <alignment vertical="center"/>
    </xf>
    <xf numFmtId="44" fontId="3" fillId="5" borderId="96" xfId="0" applyNumberFormat="1" applyFont="1" applyFill="1" applyBorder="1" applyAlignment="1" applyProtection="1">
      <alignment vertical="center"/>
    </xf>
    <xf numFmtId="171" fontId="0" fillId="0" borderId="0" xfId="0" applyNumberFormat="1" applyAlignment="1" applyProtection="1">
      <alignment vertical="center"/>
    </xf>
    <xf numFmtId="171" fontId="0" fillId="0" borderId="0" xfId="0" applyNumberFormat="1" applyBorder="1" applyAlignment="1" applyProtection="1">
      <alignment vertical="center"/>
    </xf>
    <xf numFmtId="0" fontId="0" fillId="0" borderId="97" xfId="0" applyBorder="1" applyAlignment="1" applyProtection="1">
      <alignment vertical="center"/>
    </xf>
    <xf numFmtId="44" fontId="8" fillId="0" borderId="97" xfId="0" applyNumberFormat="1" applyFont="1" applyBorder="1" applyAlignment="1" applyProtection="1">
      <alignment horizontal="right" vertical="center"/>
    </xf>
    <xf numFmtId="171" fontId="8" fillId="0" borderId="98" xfId="0" applyNumberFormat="1" applyFont="1" applyBorder="1" applyAlignment="1" applyProtection="1">
      <alignment horizontal="right" vertical="center"/>
    </xf>
    <xf numFmtId="0" fontId="3" fillId="0" borderId="0" xfId="0" applyFont="1" applyAlignment="1" applyProtection="1">
      <alignment vertical="center"/>
    </xf>
    <xf numFmtId="0" fontId="3" fillId="5" borderId="97" xfId="0" applyFont="1" applyFill="1" applyBorder="1" applyAlignment="1" applyProtection="1">
      <alignment vertical="center"/>
    </xf>
    <xf numFmtId="44" fontId="3" fillId="5" borderId="23" xfId="0" applyNumberFormat="1" applyFont="1" applyFill="1" applyBorder="1" applyAlignment="1" applyProtection="1">
      <alignment horizontal="right" vertical="center"/>
    </xf>
    <xf numFmtId="44" fontId="3" fillId="5" borderId="98" xfId="0" applyNumberFormat="1" applyFont="1" applyFill="1" applyBorder="1" applyAlignment="1" applyProtection="1">
      <alignment horizontal="right" vertical="center"/>
    </xf>
    <xf numFmtId="44" fontId="3" fillId="5" borderId="97" xfId="0" applyNumberFormat="1" applyFont="1" applyFill="1" applyBorder="1" applyAlignment="1" applyProtection="1">
      <alignment horizontal="right" vertical="center"/>
    </xf>
    <xf numFmtId="171" fontId="3" fillId="5" borderId="98" xfId="0" applyNumberFormat="1" applyFont="1" applyFill="1" applyBorder="1" applyAlignment="1" applyProtection="1">
      <alignment horizontal="right" vertical="center"/>
    </xf>
    <xf numFmtId="0" fontId="3" fillId="5" borderId="84" xfId="0" applyFont="1" applyFill="1" applyBorder="1" applyAlignment="1" applyProtection="1">
      <alignment vertical="center"/>
    </xf>
    <xf numFmtId="44" fontId="3" fillId="5" borderId="23" xfId="0" applyNumberFormat="1" applyFont="1" applyFill="1" applyBorder="1" applyAlignment="1" applyProtection="1">
      <alignment vertical="center"/>
    </xf>
    <xf numFmtId="44" fontId="3" fillId="5" borderId="87" xfId="0" applyNumberFormat="1" applyFont="1" applyFill="1" applyBorder="1" applyAlignment="1" applyProtection="1">
      <alignment vertical="center"/>
    </xf>
    <xf numFmtId="0" fontId="8" fillId="0" borderId="10" xfId="0" applyFont="1" applyFill="1" applyBorder="1" applyAlignment="1" applyProtection="1">
      <alignment vertical="center"/>
    </xf>
    <xf numFmtId="0" fontId="3" fillId="5" borderId="20" xfId="0" applyFont="1" applyFill="1" applyBorder="1" applyAlignment="1" applyProtection="1">
      <alignment vertical="center"/>
    </xf>
    <xf numFmtId="44" fontId="3" fillId="5" borderId="0" xfId="0" applyNumberFormat="1" applyFont="1" applyFill="1" applyBorder="1" applyAlignment="1" applyProtection="1">
      <alignment horizontal="right" vertical="center"/>
    </xf>
    <xf numFmtId="44" fontId="3" fillId="5" borderId="90" xfId="0" applyNumberFormat="1" applyFont="1" applyFill="1" applyBorder="1" applyAlignment="1" applyProtection="1">
      <alignment horizontal="right" vertical="center"/>
    </xf>
    <xf numFmtId="44" fontId="3" fillId="5" borderId="98" xfId="0" applyNumberFormat="1" applyFont="1" applyFill="1" applyBorder="1" applyAlignment="1" applyProtection="1">
      <alignment vertical="center"/>
    </xf>
    <xf numFmtId="0" fontId="3" fillId="5" borderId="37" xfId="0" applyFont="1" applyFill="1" applyBorder="1" applyAlignment="1" applyProtection="1">
      <alignment vertical="center"/>
    </xf>
    <xf numFmtId="44" fontId="3" fillId="5" borderId="4" xfId="0" applyNumberFormat="1" applyFont="1" applyFill="1" applyBorder="1" applyAlignment="1" applyProtection="1">
      <alignment horizontal="right" vertical="center"/>
    </xf>
    <xf numFmtId="44" fontId="3" fillId="5" borderId="91" xfId="0" applyNumberFormat="1" applyFont="1" applyFill="1" applyBorder="1" applyAlignment="1" applyProtection="1">
      <alignment horizontal="right" vertical="center"/>
    </xf>
    <xf numFmtId="44" fontId="3" fillId="5" borderId="99" xfId="0" applyNumberFormat="1" applyFont="1" applyFill="1" applyBorder="1" applyAlignment="1" applyProtection="1">
      <alignment horizontal="right" vertical="center"/>
    </xf>
    <xf numFmtId="171" fontId="3" fillId="5" borderId="100" xfId="0" applyNumberFormat="1" applyFont="1" applyFill="1" applyBorder="1" applyAlignment="1" applyProtection="1">
      <alignment horizontal="right" vertical="center"/>
    </xf>
    <xf numFmtId="0" fontId="3" fillId="5" borderId="99" xfId="0" applyFont="1" applyFill="1" applyBorder="1" applyAlignment="1" applyProtection="1">
      <alignment vertical="center"/>
    </xf>
    <xf numFmtId="44" fontId="3" fillId="5" borderId="36" xfId="0" applyNumberFormat="1" applyFont="1" applyFill="1" applyBorder="1" applyAlignment="1" applyProtection="1">
      <alignment horizontal="right" vertical="center"/>
    </xf>
    <xf numFmtId="44" fontId="3" fillId="5" borderId="100" xfId="0" applyNumberFormat="1" applyFont="1" applyFill="1" applyBorder="1" applyAlignment="1" applyProtection="1">
      <alignment vertical="center"/>
    </xf>
    <xf numFmtId="0" fontId="8" fillId="18" borderId="10" xfId="0" applyFont="1" applyFill="1" applyBorder="1" applyAlignment="1" applyProtection="1">
      <alignment vertical="center"/>
    </xf>
    <xf numFmtId="171" fontId="3" fillId="5" borderId="90" xfId="0" applyNumberFormat="1" applyFont="1" applyFill="1" applyBorder="1" applyAlignment="1" applyProtection="1">
      <alignment horizontal="right" vertical="center"/>
    </xf>
    <xf numFmtId="171" fontId="3" fillId="5" borderId="91" xfId="0" applyNumberFormat="1" applyFont="1" applyFill="1" applyBorder="1" applyAlignment="1" applyProtection="1">
      <alignment horizontal="right" vertical="center"/>
    </xf>
    <xf numFmtId="0" fontId="0" fillId="0" borderId="90" xfId="0" applyFill="1" applyBorder="1" applyAlignment="1" applyProtection="1">
      <alignment vertical="center"/>
    </xf>
    <xf numFmtId="0" fontId="3" fillId="0" borderId="90" xfId="0" applyFont="1" applyFill="1" applyBorder="1" applyAlignment="1" applyProtection="1">
      <alignment horizontal="center" vertical="center" wrapText="1"/>
    </xf>
    <xf numFmtId="171" fontId="0" fillId="0" borderId="90" xfId="0" applyNumberFormat="1" applyFill="1" applyBorder="1" applyAlignment="1" applyProtection="1">
      <alignment horizontal="right" vertical="center"/>
    </xf>
    <xf numFmtId="0" fontId="3" fillId="0" borderId="90" xfId="0" applyFont="1" applyFill="1" applyBorder="1" applyAlignment="1" applyProtection="1">
      <alignment horizontal="right" vertical="center"/>
    </xf>
    <xf numFmtId="1" fontId="3" fillId="0" borderId="90" xfId="0" applyNumberFormat="1" applyFont="1" applyFill="1" applyBorder="1" applyAlignment="1" applyProtection="1">
      <alignment vertical="center"/>
    </xf>
    <xf numFmtId="1" fontId="11" fillId="0" borderId="90" xfId="0" applyNumberFormat="1" applyFont="1" applyFill="1" applyBorder="1" applyAlignment="1" applyProtection="1">
      <alignment vertical="center"/>
    </xf>
    <xf numFmtId="1" fontId="11" fillId="6" borderId="58" xfId="0" applyNumberFormat="1" applyFont="1" applyFill="1" applyBorder="1" applyAlignment="1" applyProtection="1">
      <alignment vertical="center"/>
      <protection locked="0"/>
    </xf>
    <xf numFmtId="0" fontId="7" fillId="0" borderId="0" xfId="13" applyFont="1" applyFill="1" applyBorder="1" applyAlignment="1" applyProtection="1">
      <alignment vertical="center"/>
    </xf>
    <xf numFmtId="0" fontId="0" fillId="6" borderId="25" xfId="0" applyFill="1" applyBorder="1" applyAlignment="1" applyProtection="1">
      <alignment vertical="center"/>
      <protection locked="0"/>
    </xf>
    <xf numFmtId="0" fontId="0" fillId="6" borderId="27" xfId="0" applyFill="1" applyBorder="1" applyAlignment="1" applyProtection="1">
      <alignment vertical="center"/>
      <protection locked="0"/>
    </xf>
    <xf numFmtId="0" fontId="0" fillId="6" borderId="31" xfId="0" applyFill="1" applyBorder="1" applyAlignment="1" applyProtection="1">
      <alignment vertical="center"/>
      <protection locked="0"/>
    </xf>
    <xf numFmtId="1" fontId="11" fillId="6" borderId="32" xfId="0" applyNumberFormat="1" applyFont="1" applyFill="1" applyBorder="1" applyAlignment="1" applyProtection="1">
      <alignment vertical="center"/>
      <protection locked="0"/>
    </xf>
    <xf numFmtId="0" fontId="0" fillId="0" borderId="0" xfId="0" applyFill="1" applyAlignment="1" applyProtection="1">
      <alignment wrapText="1"/>
    </xf>
    <xf numFmtId="0" fontId="0" fillId="0" borderId="0" xfId="0" applyFill="1" applyBorder="1" applyAlignment="1" applyProtection="1">
      <alignment wrapText="1"/>
    </xf>
    <xf numFmtId="42" fontId="41" fillId="0" borderId="0" xfId="0" applyNumberFormat="1" applyFont="1" applyProtection="1"/>
    <xf numFmtId="0" fontId="0" fillId="0" borderId="0" xfId="0" applyAlignment="1" applyProtection="1"/>
    <xf numFmtId="0" fontId="42" fillId="0" borderId="0" xfId="0" applyFont="1" applyFill="1" applyProtection="1"/>
    <xf numFmtId="42" fontId="3" fillId="15" borderId="59" xfId="0" applyNumberFormat="1" applyFont="1" applyFill="1" applyBorder="1" applyProtection="1"/>
    <xf numFmtId="42" fontId="3" fillId="15" borderId="33" xfId="0" applyNumberFormat="1" applyFont="1" applyFill="1" applyBorder="1" applyProtection="1"/>
    <xf numFmtId="0" fontId="3" fillId="0" borderId="0" xfId="0" applyFont="1" applyFill="1" applyBorder="1" applyAlignment="1" applyProtection="1">
      <alignment vertical="center" wrapText="1"/>
    </xf>
    <xf numFmtId="9" fontId="8" fillId="15" borderId="33" xfId="0" applyNumberFormat="1" applyFont="1" applyFill="1" applyBorder="1" applyAlignment="1" applyProtection="1">
      <alignment vertical="center"/>
    </xf>
    <xf numFmtId="41" fontId="0" fillId="0" borderId="0" xfId="0" applyNumberFormat="1" applyAlignment="1" applyProtection="1">
      <alignment vertical="center"/>
    </xf>
    <xf numFmtId="0" fontId="8" fillId="0" borderId="0" xfId="0" applyFont="1" applyFill="1" applyBorder="1" applyAlignment="1" applyProtection="1">
      <alignment vertical="center" wrapText="1"/>
    </xf>
    <xf numFmtId="42" fontId="0" fillId="0" borderId="0" xfId="0" applyNumberFormat="1" applyFill="1" applyBorder="1" applyAlignment="1" applyProtection="1">
      <alignment vertical="center"/>
    </xf>
    <xf numFmtId="0" fontId="0" fillId="0" borderId="0" xfId="0" applyFill="1" applyBorder="1" applyAlignment="1" applyProtection="1">
      <alignment vertical="center" wrapText="1"/>
    </xf>
    <xf numFmtId="0" fontId="8" fillId="4" borderId="23" xfId="0" applyFont="1" applyFill="1" applyBorder="1" applyAlignment="1" applyProtection="1">
      <alignment vertical="center" wrapText="1"/>
    </xf>
    <xf numFmtId="2" fontId="8" fillId="4" borderId="23" xfId="0" applyNumberFormat="1" applyFont="1" applyFill="1" applyBorder="1" applyAlignment="1" applyProtection="1">
      <alignment horizontal="right" vertical="center"/>
    </xf>
    <xf numFmtId="0" fontId="8" fillId="18" borderId="0" xfId="0" applyFont="1" applyFill="1" applyBorder="1" applyAlignment="1" applyProtection="1">
      <alignment vertical="center"/>
    </xf>
    <xf numFmtId="0" fontId="0" fillId="18" borderId="0" xfId="0" applyFill="1" applyBorder="1" applyAlignment="1" applyProtection="1">
      <alignment vertical="center" wrapText="1"/>
    </xf>
    <xf numFmtId="0" fontId="0" fillId="18" borderId="0" xfId="0" applyFill="1" applyBorder="1" applyAlignment="1" applyProtection="1">
      <alignment vertical="center"/>
    </xf>
    <xf numFmtId="42" fontId="0" fillId="18" borderId="0" xfId="0" applyNumberFormat="1" applyFill="1" applyBorder="1" applyAlignment="1" applyProtection="1">
      <alignment vertical="center"/>
    </xf>
    <xf numFmtId="0" fontId="0" fillId="18" borderId="0" xfId="0" applyFill="1" applyAlignment="1" applyProtection="1">
      <alignment vertical="center"/>
    </xf>
    <xf numFmtId="1" fontId="3" fillId="0" borderId="0" xfId="0" applyNumberFormat="1" applyFont="1" applyFill="1" applyBorder="1" applyAlignment="1" applyProtection="1">
      <alignment horizontal="left" vertical="center"/>
    </xf>
    <xf numFmtId="1" fontId="3" fillId="0" borderId="0" xfId="0" applyNumberFormat="1" applyFont="1" applyFill="1" applyBorder="1" applyAlignment="1" applyProtection="1">
      <alignment horizontal="left" vertical="center" wrapText="1"/>
    </xf>
    <xf numFmtId="42" fontId="3" fillId="0" borderId="0" xfId="0" applyNumberFormat="1" applyFont="1" applyFill="1" applyBorder="1" applyAlignment="1" applyProtection="1">
      <alignment horizontal="left" vertical="center"/>
    </xf>
    <xf numFmtId="14" fontId="3" fillId="0" borderId="0" xfId="0" applyNumberFormat="1" applyFont="1" applyFill="1" applyBorder="1" applyAlignment="1" applyProtection="1">
      <alignment horizontal="left" vertical="center"/>
    </xf>
    <xf numFmtId="14" fontId="3" fillId="0" borderId="0" xfId="0" applyNumberFormat="1" applyFont="1" applyFill="1" applyBorder="1" applyAlignment="1" applyProtection="1">
      <alignment horizontal="left" vertical="center" wrapText="1"/>
    </xf>
    <xf numFmtId="0" fontId="3" fillId="0" borderId="0" xfId="0" applyFont="1" applyFill="1" applyBorder="1" applyAlignment="1" applyProtection="1">
      <alignment horizontal="left" vertical="center"/>
    </xf>
    <xf numFmtId="0" fontId="3" fillId="0" borderId="0" xfId="0" applyFont="1" applyFill="1" applyBorder="1" applyAlignment="1" applyProtection="1">
      <alignment horizontal="left" vertical="center" wrapText="1"/>
    </xf>
    <xf numFmtId="0" fontId="8" fillId="0" borderId="0" xfId="0" applyFont="1" applyFill="1" applyAlignment="1" applyProtection="1">
      <alignment vertical="center"/>
    </xf>
    <xf numFmtId="0" fontId="0" fillId="0" borderId="0" xfId="0" applyFont="1" applyFill="1" applyBorder="1" applyAlignment="1" applyProtection="1">
      <alignment vertical="center" wrapText="1"/>
    </xf>
    <xf numFmtId="0" fontId="0" fillId="0" borderId="0" xfId="0" applyFont="1" applyFill="1" applyBorder="1" applyAlignment="1" applyProtection="1">
      <alignment vertical="center"/>
    </xf>
    <xf numFmtId="42" fontId="8" fillId="0" borderId="105" xfId="0" applyNumberFormat="1" applyFont="1" applyFill="1" applyBorder="1" applyAlignment="1" applyProtection="1">
      <alignment vertical="center"/>
    </xf>
    <xf numFmtId="0" fontId="8" fillId="0" borderId="0" xfId="0" applyFont="1" applyAlignment="1" applyProtection="1">
      <alignment vertical="center"/>
    </xf>
    <xf numFmtId="0" fontId="24" fillId="0" borderId="0" xfId="0" applyFont="1" applyAlignment="1" applyProtection="1">
      <alignment vertical="center"/>
    </xf>
    <xf numFmtId="0" fontId="3" fillId="4" borderId="0" xfId="0" applyFont="1" applyFill="1" applyAlignment="1" applyProtection="1">
      <alignment vertical="center" wrapText="1"/>
    </xf>
    <xf numFmtId="0" fontId="5" fillId="0" borderId="0" xfId="0" applyFont="1" applyAlignment="1" applyProtection="1">
      <alignment vertical="center"/>
    </xf>
    <xf numFmtId="0" fontId="8" fillId="3" borderId="0" xfId="0" applyFont="1" applyFill="1" applyAlignment="1" applyProtection="1">
      <alignment vertical="center"/>
    </xf>
    <xf numFmtId="0" fontId="0" fillId="3" borderId="0" xfId="0" applyFill="1" applyAlignment="1" applyProtection="1">
      <alignment vertical="center"/>
    </xf>
    <xf numFmtId="0" fontId="3" fillId="24" borderId="23" xfId="0" applyFont="1" applyFill="1" applyBorder="1" applyAlignment="1" applyProtection="1">
      <alignment vertical="center"/>
    </xf>
    <xf numFmtId="0" fontId="3" fillId="24" borderId="45" xfId="0" applyFont="1" applyFill="1" applyBorder="1" applyAlignment="1" applyProtection="1">
      <alignment horizontal="right" vertical="center" wrapText="1"/>
    </xf>
    <xf numFmtId="0" fontId="3" fillId="24" borderId="45" xfId="0" applyFont="1" applyFill="1" applyBorder="1" applyAlignment="1" applyProtection="1">
      <alignment vertical="center"/>
    </xf>
    <xf numFmtId="0" fontId="3" fillId="24" borderId="59" xfId="0" applyFont="1" applyFill="1" applyBorder="1" applyAlignment="1" applyProtection="1">
      <alignment vertical="center"/>
    </xf>
    <xf numFmtId="42" fontId="0" fillId="24" borderId="33" xfId="0" applyNumberFormat="1" applyFill="1" applyBorder="1" applyAlignment="1" applyProtection="1">
      <alignment vertical="center"/>
    </xf>
    <xf numFmtId="42" fontId="3" fillId="4" borderId="0" xfId="0" applyNumberFormat="1" applyFont="1" applyFill="1" applyAlignment="1" applyProtection="1">
      <alignment horizontal="right" vertical="center" wrapText="1"/>
    </xf>
    <xf numFmtId="0" fontId="5" fillId="0" borderId="0" xfId="0" applyFont="1" applyFill="1" applyBorder="1" applyAlignment="1" applyProtection="1">
      <alignment vertical="center"/>
    </xf>
    <xf numFmtId="0" fontId="0" fillId="0" borderId="38" xfId="0" applyFill="1" applyBorder="1" applyAlignment="1" applyProtection="1">
      <alignment vertical="center"/>
    </xf>
    <xf numFmtId="42" fontId="0" fillId="3" borderId="0" xfId="0" applyNumberFormat="1" applyFill="1" applyBorder="1" applyAlignment="1" applyProtection="1">
      <alignment vertical="center"/>
    </xf>
    <xf numFmtId="42" fontId="0" fillId="3" borderId="0" xfId="0" applyNumberFormat="1" applyFill="1" applyAlignment="1" applyProtection="1">
      <alignment vertical="center"/>
    </xf>
    <xf numFmtId="0" fontId="8" fillId="4" borderId="21" xfId="0" applyFont="1" applyFill="1" applyBorder="1" applyAlignment="1" applyProtection="1">
      <alignment vertical="center"/>
    </xf>
    <xf numFmtId="42" fontId="0" fillId="3" borderId="0" xfId="0" applyNumberFormat="1" applyFont="1" applyFill="1" applyBorder="1" applyAlignment="1" applyProtection="1">
      <alignment vertical="center"/>
    </xf>
    <xf numFmtId="0" fontId="8" fillId="4" borderId="101" xfId="0" applyFont="1" applyFill="1" applyBorder="1" applyAlignment="1" applyProtection="1">
      <alignment vertical="center"/>
    </xf>
    <xf numFmtId="0" fontId="11" fillId="24" borderId="69" xfId="0" applyFont="1" applyFill="1" applyBorder="1" applyAlignment="1" applyProtection="1">
      <alignment vertical="center"/>
    </xf>
    <xf numFmtId="0" fontId="11" fillId="4" borderId="69" xfId="0" applyFont="1" applyFill="1" applyBorder="1" applyAlignment="1" applyProtection="1">
      <alignment vertical="center"/>
    </xf>
    <xf numFmtId="1" fontId="0" fillId="5" borderId="46" xfId="0" applyNumberFormat="1" applyFill="1" applyBorder="1" applyAlignment="1" applyProtection="1">
      <alignment vertical="center"/>
    </xf>
    <xf numFmtId="0" fontId="11" fillId="5" borderId="46" xfId="0" applyFont="1" applyFill="1" applyBorder="1" applyAlignment="1" applyProtection="1">
      <alignment vertical="center"/>
    </xf>
    <xf numFmtId="42" fontId="0" fillId="5" borderId="34" xfId="0" applyNumberFormat="1" applyFill="1" applyBorder="1" applyAlignment="1" applyProtection="1">
      <alignment vertical="center"/>
    </xf>
    <xf numFmtId="42" fontId="3" fillId="5" borderId="0" xfId="0" applyNumberFormat="1" applyFont="1" applyFill="1" applyAlignment="1" applyProtection="1">
      <alignment horizontal="right" vertical="center"/>
    </xf>
    <xf numFmtId="1" fontId="8" fillId="5" borderId="0" xfId="0" applyNumberFormat="1" applyFont="1" applyFill="1" applyBorder="1" applyAlignment="1" applyProtection="1">
      <alignment vertical="center"/>
    </xf>
    <xf numFmtId="0" fontId="8" fillId="5" borderId="38" xfId="0" applyFont="1" applyFill="1" applyBorder="1" applyAlignment="1" applyProtection="1">
      <alignment vertical="center"/>
    </xf>
    <xf numFmtId="0" fontId="8" fillId="5" borderId="0" xfId="0" applyFont="1" applyFill="1" applyBorder="1" applyAlignment="1" applyProtection="1">
      <alignment vertical="center"/>
    </xf>
    <xf numFmtId="42" fontId="0" fillId="5" borderId="39" xfId="0" applyNumberFormat="1" applyFill="1" applyBorder="1" applyAlignment="1" applyProtection="1">
      <alignment vertical="center"/>
    </xf>
    <xf numFmtId="42" fontId="0" fillId="23" borderId="0" xfId="0" applyNumberFormat="1" applyFill="1" applyAlignment="1" applyProtection="1">
      <alignment vertical="center"/>
    </xf>
    <xf numFmtId="1" fontId="0" fillId="5" borderId="0" xfId="0" applyNumberFormat="1" applyFill="1" applyBorder="1" applyAlignment="1" applyProtection="1">
      <alignment vertical="center"/>
    </xf>
    <xf numFmtId="0" fontId="8" fillId="5" borderId="44" xfId="0" applyFont="1" applyFill="1" applyBorder="1" applyAlignment="1" applyProtection="1">
      <alignment vertical="center"/>
    </xf>
    <xf numFmtId="42" fontId="0" fillId="5" borderId="50" xfId="0" applyNumberFormat="1" applyFill="1" applyBorder="1" applyAlignment="1" applyProtection="1">
      <alignment vertical="center"/>
    </xf>
    <xf numFmtId="0" fontId="3" fillId="24" borderId="23" xfId="0" applyFont="1" applyFill="1" applyBorder="1" applyAlignment="1" applyProtection="1">
      <alignment horizontal="right" vertical="center"/>
    </xf>
    <xf numFmtId="0" fontId="3" fillId="24" borderId="21" xfId="0" applyFont="1" applyFill="1" applyBorder="1" applyAlignment="1" applyProtection="1">
      <alignment horizontal="right" vertical="center"/>
    </xf>
    <xf numFmtId="0" fontId="3" fillId="24" borderId="38" xfId="0" applyFont="1" applyFill="1" applyBorder="1" applyAlignment="1" applyProtection="1">
      <alignment vertical="center"/>
    </xf>
    <xf numFmtId="0" fontId="0" fillId="24" borderId="46" xfId="0" applyFill="1" applyBorder="1" applyAlignment="1" applyProtection="1">
      <alignment vertical="center"/>
    </xf>
    <xf numFmtId="42" fontId="0" fillId="24" borderId="34" xfId="0" applyNumberFormat="1" applyFill="1" applyBorder="1" applyAlignment="1" applyProtection="1">
      <alignment vertical="center"/>
    </xf>
    <xf numFmtId="42" fontId="3" fillId="5" borderId="0" xfId="0" applyNumberFormat="1" applyFont="1" applyFill="1" applyBorder="1" applyAlignment="1" applyProtection="1">
      <alignment horizontal="right" vertical="center"/>
    </xf>
    <xf numFmtId="164" fontId="8" fillId="0" borderId="0" xfId="0" applyNumberFormat="1" applyFont="1" applyFill="1" applyBorder="1" applyAlignment="1" applyProtection="1">
      <alignment vertical="center"/>
    </xf>
    <xf numFmtId="0" fontId="0" fillId="5" borderId="44" xfId="0" applyFill="1" applyBorder="1" applyAlignment="1" applyProtection="1">
      <alignment vertical="center"/>
    </xf>
    <xf numFmtId="0" fontId="8" fillId="0" borderId="38" xfId="0" applyFont="1" applyFill="1" applyBorder="1" applyAlignment="1" applyProtection="1">
      <alignment vertical="center"/>
    </xf>
    <xf numFmtId="42" fontId="3" fillId="4" borderId="0" xfId="0" applyNumberFormat="1" applyFont="1" applyFill="1" applyBorder="1" applyAlignment="1" applyProtection="1">
      <alignment horizontal="right" vertical="center"/>
    </xf>
    <xf numFmtId="42" fontId="0" fillId="4" borderId="0" xfId="0" applyNumberFormat="1" applyFill="1" applyAlignment="1" applyProtection="1">
      <alignment vertical="center"/>
    </xf>
    <xf numFmtId="42" fontId="8" fillId="0" borderId="0" xfId="0" applyNumberFormat="1" applyFont="1" applyFill="1" applyBorder="1" applyAlignment="1" applyProtection="1">
      <alignment vertical="center"/>
    </xf>
    <xf numFmtId="44" fontId="0" fillId="3" borderId="0" xfId="0" applyNumberFormat="1" applyFill="1" applyBorder="1" applyAlignment="1" applyProtection="1">
      <alignment vertical="center"/>
    </xf>
    <xf numFmtId="0" fontId="8" fillId="0" borderId="1" xfId="0" applyFont="1" applyFill="1" applyBorder="1" applyAlignment="1" applyProtection="1">
      <alignment vertical="center"/>
    </xf>
    <xf numFmtId="0" fontId="3" fillId="0" borderId="1" xfId="0" applyFont="1" applyFill="1" applyBorder="1" applyAlignment="1" applyProtection="1">
      <alignment vertical="center"/>
    </xf>
    <xf numFmtId="0" fontId="3" fillId="4" borderId="0" xfId="0" applyFont="1" applyFill="1" applyAlignment="1" applyProtection="1">
      <alignment horizontal="right" vertical="center" wrapText="1"/>
    </xf>
    <xf numFmtId="44" fontId="0" fillId="3" borderId="0" xfId="0" applyNumberFormat="1" applyFill="1" applyAlignment="1" applyProtection="1">
      <alignment vertical="center" wrapText="1"/>
    </xf>
    <xf numFmtId="44" fontId="0" fillId="3" borderId="102" xfId="0" applyNumberFormat="1" applyFill="1" applyBorder="1" applyAlignment="1" applyProtection="1">
      <alignment vertical="center" wrapText="1"/>
    </xf>
    <xf numFmtId="42" fontId="3" fillId="3" borderId="0" xfId="0" applyNumberFormat="1" applyFont="1" applyFill="1" applyAlignment="1" applyProtection="1">
      <alignment vertical="center"/>
    </xf>
    <xf numFmtId="42" fontId="3" fillId="0" borderId="0" xfId="0" applyNumberFormat="1" applyFont="1" applyAlignment="1" applyProtection="1">
      <alignment vertical="center"/>
    </xf>
    <xf numFmtId="0" fontId="0" fillId="4" borderId="45" xfId="0" applyFill="1" applyBorder="1" applyAlignment="1" applyProtection="1">
      <alignment vertical="center" wrapText="1"/>
    </xf>
    <xf numFmtId="2" fontId="0" fillId="0" borderId="0" xfId="0" applyNumberFormat="1" applyFill="1" applyBorder="1" applyAlignment="1" applyProtection="1">
      <alignment horizontal="center" vertical="center"/>
    </xf>
    <xf numFmtId="42" fontId="0" fillId="0" borderId="0" xfId="0" applyNumberFormat="1" applyAlignment="1" applyProtection="1">
      <alignment vertical="center"/>
    </xf>
    <xf numFmtId="0" fontId="0" fillId="4" borderId="40" xfId="0" applyFill="1" applyBorder="1" applyAlignment="1" applyProtection="1">
      <alignment vertical="center" wrapText="1"/>
    </xf>
    <xf numFmtId="42" fontId="3" fillId="3" borderId="102" xfId="0" applyNumberFormat="1" applyFont="1" applyFill="1" applyBorder="1" applyAlignment="1" applyProtection="1">
      <alignment vertical="center"/>
    </xf>
    <xf numFmtId="42" fontId="3" fillId="0" borderId="0" xfId="0" applyNumberFormat="1" applyFont="1" applyAlignment="1" applyProtection="1">
      <alignment horizontal="right" vertical="center"/>
    </xf>
    <xf numFmtId="0" fontId="0" fillId="4" borderId="49" xfId="0" applyFill="1" applyBorder="1" applyAlignment="1" applyProtection="1">
      <alignment vertical="center" wrapText="1"/>
    </xf>
    <xf numFmtId="0" fontId="3" fillId="5" borderId="23" xfId="0" applyFont="1" applyFill="1" applyBorder="1" applyAlignment="1" applyProtection="1">
      <alignment horizontal="right" vertical="center" wrapText="1"/>
    </xf>
    <xf numFmtId="42" fontId="3" fillId="4" borderId="33" xfId="0" applyNumberFormat="1" applyFont="1" applyFill="1" applyBorder="1" applyAlignment="1" applyProtection="1">
      <alignment vertical="center" wrapText="1"/>
    </xf>
    <xf numFmtId="0" fontId="3" fillId="4" borderId="59" xfId="0" applyFont="1" applyFill="1" applyBorder="1" applyAlignment="1" applyProtection="1">
      <alignment vertical="center" wrapText="1"/>
    </xf>
    <xf numFmtId="0" fontId="0" fillId="0" borderId="23" xfId="0" applyFill="1" applyBorder="1" applyAlignment="1" applyProtection="1">
      <alignment vertical="center" wrapText="1"/>
    </xf>
    <xf numFmtId="0" fontId="3" fillId="4" borderId="33" xfId="0" applyFont="1" applyFill="1" applyBorder="1" applyAlignment="1" applyProtection="1">
      <alignment vertical="center" wrapText="1"/>
    </xf>
    <xf numFmtId="0" fontId="3" fillId="5" borderId="21" xfId="0" applyFont="1" applyFill="1" applyBorder="1" applyAlignment="1" applyProtection="1">
      <alignment horizontal="right" vertical="center" wrapText="1"/>
    </xf>
    <xf numFmtId="41" fontId="3" fillId="4" borderId="21" xfId="0" applyNumberFormat="1" applyFont="1" applyFill="1" applyBorder="1" applyAlignment="1" applyProtection="1">
      <alignment horizontal="center" vertical="center" wrapText="1"/>
    </xf>
    <xf numFmtId="173" fontId="8" fillId="18" borderId="0" xfId="0" applyNumberFormat="1" applyFont="1" applyFill="1" applyBorder="1" applyAlignment="1" applyProtection="1">
      <alignment horizontal="right" vertical="center"/>
    </xf>
    <xf numFmtId="42" fontId="8" fillId="18" borderId="0" xfId="0" applyNumberFormat="1" applyFont="1" applyFill="1" applyBorder="1" applyAlignment="1" applyProtection="1">
      <alignment horizontal="right" vertical="center"/>
    </xf>
    <xf numFmtId="42" fontId="8" fillId="18" borderId="0" xfId="0" applyNumberFormat="1" applyFont="1" applyFill="1" applyBorder="1" applyAlignment="1" applyProtection="1">
      <alignment vertical="center"/>
    </xf>
    <xf numFmtId="1" fontId="0" fillId="0" borderId="0" xfId="0" applyNumberFormat="1" applyBorder="1" applyAlignment="1" applyProtection="1">
      <alignment vertical="center"/>
    </xf>
    <xf numFmtId="0" fontId="8" fillId="18" borderId="23" xfId="0" applyFont="1" applyFill="1" applyBorder="1" applyAlignment="1" applyProtection="1">
      <alignment vertical="center"/>
    </xf>
    <xf numFmtId="0" fontId="0" fillId="0" borderId="1" xfId="0" applyFill="1" applyBorder="1" applyAlignment="1" applyProtection="1">
      <alignment vertical="center"/>
    </xf>
    <xf numFmtId="173" fontId="8" fillId="4" borderId="0" xfId="0" applyNumberFormat="1" applyFont="1" applyFill="1" applyBorder="1" applyAlignment="1" applyProtection="1">
      <alignment horizontal="right" vertical="center"/>
    </xf>
    <xf numFmtId="42" fontId="8" fillId="4" borderId="0" xfId="0" applyNumberFormat="1" applyFont="1" applyFill="1" applyBorder="1" applyAlignment="1" applyProtection="1">
      <alignment horizontal="right" vertical="center"/>
    </xf>
    <xf numFmtId="42" fontId="8" fillId="4" borderId="0" xfId="0" applyNumberFormat="1" applyFont="1" applyFill="1" applyBorder="1" applyAlignment="1" applyProtection="1">
      <alignment horizontal="center" vertical="center"/>
    </xf>
    <xf numFmtId="0" fontId="0" fillId="4" borderId="0" xfId="0" applyFill="1" applyAlignment="1" applyProtection="1">
      <alignment vertical="center"/>
    </xf>
    <xf numFmtId="0" fontId="8" fillId="18" borderId="23" xfId="0" applyFont="1" applyFill="1" applyBorder="1" applyAlignment="1" applyProtection="1">
      <alignment horizontal="right" vertical="center"/>
    </xf>
    <xf numFmtId="173" fontId="8" fillId="4" borderId="44" xfId="0" applyNumberFormat="1" applyFont="1" applyFill="1" applyBorder="1" applyAlignment="1" applyProtection="1">
      <alignment horizontal="right" vertical="center"/>
    </xf>
    <xf numFmtId="42" fontId="8" fillId="4" borderId="44" xfId="0" applyNumberFormat="1" applyFont="1" applyFill="1" applyBorder="1" applyAlignment="1" applyProtection="1">
      <alignment horizontal="right" vertical="center"/>
    </xf>
    <xf numFmtId="0" fontId="0" fillId="4" borderId="0" xfId="0" applyFill="1" applyBorder="1" applyAlignment="1" applyProtection="1">
      <alignment vertical="center"/>
    </xf>
    <xf numFmtId="41" fontId="0" fillId="4" borderId="0" xfId="0" applyNumberFormat="1" applyFill="1" applyAlignment="1" applyProtection="1">
      <alignment vertical="center"/>
    </xf>
    <xf numFmtId="164" fontId="8" fillId="4" borderId="23" xfId="0" applyNumberFormat="1" applyFont="1" applyFill="1" applyBorder="1" applyAlignment="1" applyProtection="1">
      <alignment horizontal="right" vertical="center"/>
    </xf>
    <xf numFmtId="0" fontId="8" fillId="4" borderId="23" xfId="0" applyFont="1" applyFill="1" applyBorder="1" applyAlignment="1" applyProtection="1">
      <alignment horizontal="right" vertical="center"/>
    </xf>
    <xf numFmtId="173" fontId="8" fillId="3" borderId="0" xfId="0" applyNumberFormat="1" applyFont="1" applyFill="1" applyBorder="1" applyAlignment="1" applyProtection="1">
      <alignment horizontal="right" vertical="center"/>
    </xf>
    <xf numFmtId="42" fontId="8" fillId="3" borderId="0" xfId="0" applyNumberFormat="1" applyFont="1" applyFill="1" applyBorder="1" applyAlignment="1" applyProtection="1">
      <alignment horizontal="right" vertical="center"/>
    </xf>
    <xf numFmtId="42" fontId="8" fillId="3" borderId="0" xfId="0" applyNumberFormat="1" applyFont="1" applyFill="1" applyBorder="1" applyAlignment="1" applyProtection="1">
      <alignment vertical="center"/>
    </xf>
    <xf numFmtId="1" fontId="0" fillId="3" borderId="0" xfId="0" applyNumberFormat="1" applyFill="1" applyBorder="1" applyAlignment="1" applyProtection="1">
      <alignment vertical="center"/>
    </xf>
    <xf numFmtId="0" fontId="8" fillId="4" borderId="0" xfId="0" applyNumberFormat="1" applyFont="1" applyFill="1" applyBorder="1" applyAlignment="1" applyProtection="1">
      <alignment horizontal="right" vertical="center"/>
    </xf>
    <xf numFmtId="42" fontId="8" fillId="3" borderId="0" xfId="0" applyNumberFormat="1" applyFont="1" applyFill="1" applyBorder="1" applyAlignment="1" applyProtection="1">
      <alignment horizontal="center" vertical="center"/>
    </xf>
    <xf numFmtId="0" fontId="3" fillId="4" borderId="69" xfId="0" applyFont="1" applyFill="1" applyBorder="1" applyAlignment="1" applyProtection="1">
      <alignment vertical="center"/>
    </xf>
    <xf numFmtId="0" fontId="3" fillId="0" borderId="46" xfId="0" applyFont="1" applyFill="1" applyBorder="1" applyAlignment="1" applyProtection="1">
      <alignment vertical="center"/>
    </xf>
    <xf numFmtId="0" fontId="3" fillId="0" borderId="0" xfId="0" applyFont="1" applyFill="1" applyBorder="1" applyAlignment="1" applyProtection="1">
      <alignment vertical="center"/>
    </xf>
    <xf numFmtId="0" fontId="3" fillId="0" borderId="0" xfId="0" applyFont="1" applyBorder="1" applyAlignment="1" applyProtection="1">
      <alignment vertical="center"/>
    </xf>
    <xf numFmtId="42" fontId="3" fillId="0" borderId="46" xfId="0" applyNumberFormat="1" applyFont="1" applyFill="1" applyBorder="1" applyAlignment="1" applyProtection="1">
      <alignment vertical="center"/>
    </xf>
    <xf numFmtId="42" fontId="3" fillId="18" borderId="102" xfId="0" applyNumberFormat="1" applyFont="1" applyFill="1" applyBorder="1" applyAlignment="1" applyProtection="1">
      <alignment vertical="center"/>
    </xf>
    <xf numFmtId="41" fontId="3" fillId="0" borderId="0" xfId="0" applyNumberFormat="1" applyFont="1" applyAlignment="1" applyProtection="1">
      <alignment vertical="center"/>
    </xf>
    <xf numFmtId="0" fontId="40" fillId="0" borderId="0" xfId="0" applyFont="1" applyFill="1" applyBorder="1" applyAlignment="1" applyProtection="1">
      <alignment vertical="center"/>
    </xf>
    <xf numFmtId="42" fontId="3" fillId="0" borderId="0" xfId="0" applyNumberFormat="1" applyFont="1" applyFill="1" applyBorder="1" applyAlignment="1" applyProtection="1">
      <alignment vertical="center"/>
    </xf>
    <xf numFmtId="42" fontId="3" fillId="18" borderId="0" xfId="0" applyNumberFormat="1" applyFont="1" applyFill="1" applyBorder="1" applyAlignment="1" applyProtection="1">
      <alignment vertical="center"/>
    </xf>
    <xf numFmtId="0" fontId="3" fillId="0" borderId="0" xfId="0" applyFont="1" applyFill="1" applyAlignment="1" applyProtection="1">
      <alignment vertical="center"/>
    </xf>
    <xf numFmtId="42" fontId="8" fillId="0" borderId="0" xfId="0" applyNumberFormat="1" applyFont="1" applyAlignment="1" applyProtection="1">
      <alignment vertical="center"/>
    </xf>
    <xf numFmtId="0" fontId="3" fillId="0" borderId="38" xfId="0" applyFont="1" applyFill="1" applyBorder="1" applyAlignment="1" applyProtection="1">
      <alignment horizontal="right" vertical="center"/>
    </xf>
    <xf numFmtId="42" fontId="8" fillId="3" borderId="0" xfId="0" applyNumberFormat="1" applyFont="1" applyFill="1" applyAlignment="1" applyProtection="1">
      <alignment vertical="center"/>
    </xf>
    <xf numFmtId="42" fontId="8" fillId="0" borderId="0" xfId="0" applyNumberFormat="1" applyFont="1" applyFill="1" applyAlignment="1" applyProtection="1">
      <alignment vertical="center"/>
    </xf>
    <xf numFmtId="0" fontId="8" fillId="0" borderId="38" xfId="0" applyFont="1" applyFill="1" applyBorder="1" applyAlignment="1" applyProtection="1">
      <alignment horizontal="right" vertical="center"/>
    </xf>
    <xf numFmtId="0" fontId="0" fillId="24" borderId="23" xfId="0" applyFill="1" applyBorder="1" applyAlignment="1" applyProtection="1">
      <alignment vertical="center"/>
    </xf>
    <xf numFmtId="0" fontId="8" fillId="23" borderId="0" xfId="0" applyFont="1" applyFill="1" applyAlignment="1" applyProtection="1">
      <alignment vertical="center"/>
    </xf>
    <xf numFmtId="0" fontId="0" fillId="23" borderId="0" xfId="0" applyFill="1" applyAlignment="1" applyProtection="1">
      <alignment vertical="center"/>
    </xf>
    <xf numFmtId="0" fontId="3" fillId="24" borderId="59" xfId="0" applyFont="1" applyFill="1" applyBorder="1" applyAlignment="1" applyProtection="1">
      <alignment horizontal="right" vertical="center"/>
    </xf>
    <xf numFmtId="0" fontId="3" fillId="24" borderId="59" xfId="0" applyFont="1" applyFill="1" applyBorder="1" applyAlignment="1" applyProtection="1">
      <alignment horizontal="center" vertical="center"/>
    </xf>
    <xf numFmtId="0" fontId="3" fillId="24" borderId="33" xfId="0" applyFont="1" applyFill="1" applyBorder="1" applyAlignment="1" applyProtection="1">
      <alignment horizontal="center" vertical="center" wrapText="1"/>
    </xf>
    <xf numFmtId="42" fontId="8" fillId="23" borderId="0" xfId="0" applyNumberFormat="1" applyFont="1" applyFill="1" applyAlignment="1" applyProtection="1">
      <alignment vertical="center"/>
    </xf>
    <xf numFmtId="0" fontId="0" fillId="0" borderId="0" xfId="0" applyAlignment="1" applyProtection="1">
      <alignment horizontal="center" vertical="center"/>
    </xf>
    <xf numFmtId="0" fontId="8" fillId="0" borderId="0" xfId="0" applyFont="1" applyFill="1" applyBorder="1" applyAlignment="1" applyProtection="1">
      <alignment horizontal="center" vertical="center"/>
    </xf>
    <xf numFmtId="0" fontId="3" fillId="0" borderId="0" xfId="0" applyFont="1" applyFill="1" applyBorder="1" applyAlignment="1" applyProtection="1">
      <alignment horizontal="center" vertical="center"/>
    </xf>
    <xf numFmtId="0" fontId="24" fillId="0" borderId="0" xfId="0" applyFont="1" applyFill="1" applyBorder="1" applyAlignment="1" applyProtection="1">
      <alignment horizontal="left" vertical="center"/>
    </xf>
    <xf numFmtId="0" fontId="29" fillId="0" borderId="0" xfId="0" applyFont="1" applyFill="1" applyBorder="1" applyAlignment="1" applyProtection="1">
      <alignment vertical="center"/>
    </xf>
    <xf numFmtId="0" fontId="0" fillId="24" borderId="0" xfId="0" applyFill="1" applyBorder="1" applyAlignment="1" applyProtection="1">
      <alignment vertical="center"/>
    </xf>
    <xf numFmtId="168" fontId="3" fillId="0" borderId="0" xfId="0" applyNumberFormat="1" applyFont="1" applyFill="1" applyBorder="1" applyAlignment="1" applyProtection="1">
      <alignment vertical="center"/>
    </xf>
    <xf numFmtId="0" fontId="43" fillId="24" borderId="0" xfId="0" applyFont="1" applyFill="1" applyBorder="1" applyAlignment="1" applyProtection="1">
      <alignment vertical="center"/>
    </xf>
    <xf numFmtId="0" fontId="3" fillId="0" borderId="3" xfId="0" applyFont="1" applyFill="1" applyBorder="1" applyAlignment="1" applyProtection="1">
      <alignment vertical="center"/>
    </xf>
    <xf numFmtId="0" fontId="0" fillId="0" borderId="3" xfId="0" applyFill="1" applyBorder="1" applyAlignment="1" applyProtection="1">
      <alignment vertical="center"/>
    </xf>
    <xf numFmtId="0" fontId="11" fillId="0" borderId="38" xfId="0" applyFont="1" applyFill="1" applyBorder="1" applyAlignment="1" applyProtection="1">
      <alignment horizontal="center" vertical="center" wrapText="1"/>
    </xf>
    <xf numFmtId="42" fontId="3" fillId="4" borderId="39" xfId="0" applyNumberFormat="1" applyFont="1" applyFill="1" applyBorder="1" applyAlignment="1" applyProtection="1">
      <alignment vertical="center" wrapText="1"/>
    </xf>
    <xf numFmtId="0" fontId="8" fillId="4" borderId="34" xfId="0" applyFont="1" applyFill="1" applyBorder="1" applyAlignment="1" applyProtection="1">
      <alignment vertical="center"/>
    </xf>
    <xf numFmtId="173" fontId="0" fillId="3" borderId="33" xfId="0" applyNumberFormat="1" applyFill="1" applyBorder="1" applyAlignment="1" applyProtection="1">
      <alignment vertical="center"/>
    </xf>
    <xf numFmtId="44" fontId="0" fillId="3" borderId="23" xfId="0" applyNumberFormat="1" applyFill="1" applyBorder="1" applyAlignment="1" applyProtection="1">
      <alignment vertical="center"/>
    </xf>
    <xf numFmtId="0" fontId="8" fillId="4" borderId="39" xfId="0" applyFont="1" applyFill="1" applyBorder="1" applyAlignment="1" applyProtection="1">
      <alignment vertical="center"/>
    </xf>
    <xf numFmtId="42" fontId="0" fillId="0" borderId="34" xfId="0" applyNumberFormat="1" applyFill="1" applyBorder="1" applyAlignment="1" applyProtection="1">
      <alignment vertical="center"/>
    </xf>
    <xf numFmtId="0" fontId="8" fillId="4" borderId="72" xfId="0" applyFont="1" applyFill="1" applyBorder="1" applyAlignment="1" applyProtection="1">
      <alignment vertical="center"/>
    </xf>
    <xf numFmtId="42" fontId="0" fillId="0" borderId="39" xfId="0" applyNumberFormat="1" applyFill="1" applyBorder="1" applyAlignment="1" applyProtection="1">
      <alignment vertical="center"/>
    </xf>
    <xf numFmtId="0" fontId="8" fillId="4" borderId="61" xfId="0" applyFont="1" applyFill="1" applyBorder="1" applyAlignment="1" applyProtection="1">
      <alignment vertical="center"/>
    </xf>
    <xf numFmtId="2" fontId="3" fillId="4" borderId="23" xfId="0" applyNumberFormat="1" applyFont="1" applyFill="1" applyBorder="1" applyAlignment="1" applyProtection="1">
      <alignment horizontal="right" vertical="center"/>
    </xf>
    <xf numFmtId="0" fontId="8" fillId="0" borderId="38" xfId="0" applyFont="1" applyFill="1" applyBorder="1" applyAlignment="1" applyProtection="1">
      <alignment horizontal="left" vertical="center"/>
    </xf>
    <xf numFmtId="42" fontId="3" fillId="18" borderId="39" xfId="0" applyNumberFormat="1" applyFont="1" applyFill="1" applyBorder="1" applyAlignment="1" applyProtection="1">
      <alignment vertical="center"/>
    </xf>
    <xf numFmtId="2" fontId="8" fillId="6" borderId="23" xfId="0" applyNumberFormat="1" applyFont="1" applyFill="1" applyBorder="1" applyAlignment="1" applyProtection="1">
      <alignment horizontal="right" vertical="center"/>
      <protection locked="0"/>
    </xf>
    <xf numFmtId="0" fontId="0" fillId="6" borderId="23" xfId="0" applyFill="1" applyBorder="1" applyAlignment="1" applyProtection="1">
      <alignment vertical="center"/>
      <protection locked="0"/>
    </xf>
    <xf numFmtId="0" fontId="0" fillId="6" borderId="21" xfId="0" applyFill="1" applyBorder="1" applyAlignment="1" applyProtection="1">
      <alignment vertical="center"/>
      <protection locked="0"/>
    </xf>
    <xf numFmtId="0" fontId="0" fillId="6" borderId="101" xfId="0" applyFill="1" applyBorder="1" applyAlignment="1" applyProtection="1">
      <alignment vertical="center"/>
      <protection locked="0"/>
    </xf>
    <xf numFmtId="164" fontId="8" fillId="6" borderId="23" xfId="0" applyNumberFormat="1" applyFont="1" applyFill="1" applyBorder="1" applyAlignment="1" applyProtection="1">
      <alignment horizontal="right" vertical="center"/>
      <protection locked="0"/>
    </xf>
    <xf numFmtId="42" fontId="0" fillId="6" borderId="23" xfId="0" applyNumberFormat="1" applyFill="1" applyBorder="1" applyAlignment="1" applyProtection="1">
      <alignment vertical="center"/>
      <protection locked="0"/>
    </xf>
    <xf numFmtId="42" fontId="0" fillId="6" borderId="21" xfId="0" applyNumberFormat="1" applyFill="1" applyBorder="1" applyAlignment="1" applyProtection="1">
      <alignment vertical="center"/>
      <protection locked="0"/>
    </xf>
    <xf numFmtId="0" fontId="8" fillId="6" borderId="23" xfId="0" applyFont="1" applyFill="1" applyBorder="1" applyAlignment="1" applyProtection="1">
      <alignment vertical="center"/>
      <protection locked="0"/>
    </xf>
    <xf numFmtId="0" fontId="8" fillId="6" borderId="21" xfId="0" applyFont="1" applyFill="1" applyBorder="1" applyAlignment="1" applyProtection="1">
      <alignment vertical="center"/>
      <protection locked="0"/>
    </xf>
    <xf numFmtId="0" fontId="5" fillId="26" borderId="45" xfId="0" applyFont="1" applyFill="1" applyBorder="1" applyAlignment="1" applyProtection="1">
      <alignment vertical="center"/>
      <protection locked="0"/>
    </xf>
    <xf numFmtId="42" fontId="8" fillId="6" borderId="59" xfId="0" applyNumberFormat="1" applyFont="1" applyFill="1" applyBorder="1" applyAlignment="1" applyProtection="1">
      <alignment horizontal="center" vertical="center"/>
      <protection locked="0"/>
    </xf>
    <xf numFmtId="0" fontId="8" fillId="6" borderId="59" xfId="0" applyFont="1" applyFill="1" applyBorder="1" applyAlignment="1" applyProtection="1">
      <alignment horizontal="center" vertical="center"/>
      <protection locked="0"/>
    </xf>
    <xf numFmtId="0" fontId="8" fillId="6" borderId="33" xfId="0" applyFont="1" applyFill="1" applyBorder="1" applyAlignment="1" applyProtection="1">
      <alignment horizontal="center" vertical="center"/>
      <protection locked="0"/>
    </xf>
    <xf numFmtId="0" fontId="8" fillId="0" borderId="77" xfId="0" applyFont="1" applyBorder="1" applyAlignment="1" applyProtection="1">
      <alignment horizontal="center" vertical="center"/>
    </xf>
    <xf numFmtId="0" fontId="15" fillId="15" borderId="5" xfId="0" applyFont="1" applyFill="1" applyBorder="1" applyAlignment="1">
      <alignment horizontal="left" vertical="center" wrapText="1"/>
    </xf>
    <xf numFmtId="0" fontId="13" fillId="15" borderId="18" xfId="0" applyFont="1" applyFill="1" applyBorder="1" applyAlignment="1">
      <alignment horizontal="left" vertical="center"/>
    </xf>
    <xf numFmtId="0" fontId="13" fillId="6" borderId="5" xfId="0" applyFont="1" applyFill="1" applyBorder="1" applyAlignment="1">
      <alignment horizontal="left" vertical="center"/>
    </xf>
    <xf numFmtId="0" fontId="10" fillId="24" borderId="54" xfId="0" applyFont="1" applyFill="1" applyBorder="1" applyAlignment="1" applyProtection="1">
      <alignment vertical="center"/>
    </xf>
    <xf numFmtId="0" fontId="8" fillId="0" borderId="0" xfId="0" applyFont="1" applyAlignment="1" applyProtection="1">
      <alignment vertical="center" wrapText="1"/>
    </xf>
    <xf numFmtId="42" fontId="8" fillId="0" borderId="0" xfId="0" applyNumberFormat="1" applyFont="1" applyBorder="1" applyAlignment="1" applyProtection="1">
      <alignment vertical="center"/>
    </xf>
    <xf numFmtId="41" fontId="8" fillId="0" borderId="0" xfId="0" applyNumberFormat="1" applyFont="1" applyAlignment="1" applyProtection="1">
      <alignment vertical="center"/>
    </xf>
    <xf numFmtId="1" fontId="8" fillId="4" borderId="22" xfId="0" applyNumberFormat="1" applyFont="1" applyFill="1" applyBorder="1" applyAlignment="1" applyProtection="1">
      <alignment vertical="center"/>
    </xf>
    <xf numFmtId="0" fontId="0" fillId="0" borderId="0" xfId="0" applyFill="1" applyAlignment="1" applyProtection="1">
      <alignment horizontal="center" vertical="center"/>
    </xf>
    <xf numFmtId="166" fontId="3" fillId="5" borderId="0" xfId="0" applyNumberFormat="1" applyFont="1" applyFill="1" applyAlignment="1">
      <alignment horizontal="right"/>
    </xf>
    <xf numFmtId="166" fontId="0" fillId="0" borderId="0" xfId="0" applyNumberFormat="1"/>
    <xf numFmtId="0" fontId="8" fillId="0" borderId="0" xfId="0" applyFont="1" applyFill="1"/>
    <xf numFmtId="0" fontId="0" fillId="0" borderId="0" xfId="0" applyFill="1" applyAlignment="1">
      <alignment wrapText="1"/>
    </xf>
    <xf numFmtId="42" fontId="8" fillId="0" borderId="23" xfId="0" applyNumberFormat="1" applyFont="1" applyBorder="1" applyAlignment="1" applyProtection="1">
      <alignment horizontal="right" vertical="center"/>
    </xf>
    <xf numFmtId="0" fontId="15" fillId="15" borderId="23" xfId="0" applyFont="1" applyFill="1" applyBorder="1" applyAlignment="1" applyProtection="1">
      <alignment horizontal="center"/>
    </xf>
    <xf numFmtId="0" fontId="15" fillId="27" borderId="23" xfId="0" applyFont="1" applyFill="1" applyBorder="1" applyAlignment="1" applyProtection="1">
      <alignment horizontal="center"/>
    </xf>
    <xf numFmtId="0" fontId="15" fillId="21" borderId="23" xfId="0" applyFont="1" applyFill="1" applyBorder="1" applyAlignment="1" applyProtection="1">
      <alignment horizontal="center"/>
    </xf>
    <xf numFmtId="0" fontId="15" fillId="22" borderId="23" xfId="0" applyFont="1" applyFill="1" applyBorder="1" applyAlignment="1" applyProtection="1">
      <alignment horizontal="center"/>
    </xf>
    <xf numFmtId="0" fontId="15" fillId="7" borderId="23" xfId="0" applyFont="1" applyFill="1" applyBorder="1" applyAlignment="1" applyProtection="1">
      <alignment horizontal="center"/>
    </xf>
    <xf numFmtId="0" fontId="13" fillId="5" borderId="98" xfId="0" applyFont="1" applyFill="1" applyBorder="1" applyAlignment="1" applyProtection="1">
      <alignment horizontal="center"/>
    </xf>
    <xf numFmtId="9" fontId="15" fillId="20" borderId="99" xfId="0" applyNumberFormat="1" applyFont="1" applyFill="1" applyBorder="1" applyAlignment="1" applyProtection="1">
      <alignment horizontal="center"/>
    </xf>
    <xf numFmtId="9" fontId="15" fillId="15" borderId="36" xfId="0" applyNumberFormat="1" applyFont="1" applyFill="1" applyBorder="1" applyAlignment="1" applyProtection="1">
      <alignment horizontal="center"/>
    </xf>
    <xf numFmtId="9" fontId="15" fillId="27" borderId="36" xfId="0" applyNumberFormat="1" applyFont="1" applyFill="1" applyBorder="1" applyAlignment="1" applyProtection="1">
      <alignment horizontal="center"/>
    </xf>
    <xf numFmtId="9" fontId="15" fillId="21" borderId="36" xfId="0" applyNumberFormat="1" applyFont="1" applyFill="1" applyBorder="1" applyAlignment="1" applyProtection="1">
      <alignment horizontal="center"/>
    </xf>
    <xf numFmtId="9" fontId="15" fillId="22" borderId="36" xfId="0" applyNumberFormat="1" applyFont="1" applyFill="1" applyBorder="1" applyAlignment="1" applyProtection="1">
      <alignment horizontal="center"/>
    </xf>
    <xf numFmtId="9" fontId="15" fillId="7" borderId="36" xfId="0" applyNumberFormat="1" applyFont="1" applyFill="1" applyBorder="1" applyAlignment="1" applyProtection="1">
      <alignment horizontal="center"/>
    </xf>
    <xf numFmtId="9" fontId="13" fillId="5" borderId="100" xfId="0" applyNumberFormat="1" applyFont="1" applyFill="1" applyBorder="1" applyAlignment="1" applyProtection="1">
      <alignment horizontal="center"/>
    </xf>
    <xf numFmtId="0" fontId="0" fillId="0" borderId="0" xfId="0" applyBorder="1" applyAlignment="1">
      <alignment wrapText="1"/>
    </xf>
    <xf numFmtId="0" fontId="0" fillId="0" borderId="3" xfId="0" applyBorder="1"/>
    <xf numFmtId="0" fontId="0" fillId="0" borderId="0" xfId="0" applyBorder="1" applyAlignment="1"/>
    <xf numFmtId="0" fontId="0" fillId="0" borderId="39" xfId="0" applyBorder="1" applyAlignment="1"/>
    <xf numFmtId="0" fontId="0" fillId="0" borderId="49" xfId="0" applyBorder="1" applyAlignment="1">
      <alignment vertical="center"/>
    </xf>
    <xf numFmtId="0" fontId="3" fillId="15" borderId="45" xfId="0" applyFont="1" applyFill="1" applyBorder="1" applyAlignment="1" applyProtection="1">
      <alignment horizontal="left" vertical="center"/>
    </xf>
    <xf numFmtId="0" fontId="0" fillId="15" borderId="59" xfId="0" applyFill="1" applyBorder="1" applyAlignment="1">
      <alignment vertical="center"/>
    </xf>
    <xf numFmtId="0" fontId="0" fillId="15" borderId="33" xfId="0" applyFill="1" applyBorder="1" applyAlignment="1">
      <alignment vertical="center"/>
    </xf>
    <xf numFmtId="0" fontId="0" fillId="0" borderId="44" xfId="0" applyBorder="1" applyAlignment="1">
      <alignment vertical="center"/>
    </xf>
    <xf numFmtId="0" fontId="0" fillId="0" borderId="50" xfId="0" applyBorder="1" applyAlignment="1">
      <alignment vertical="center"/>
    </xf>
    <xf numFmtId="0" fontId="0" fillId="0" borderId="0" xfId="0" applyAlignment="1">
      <alignment vertical="center"/>
    </xf>
    <xf numFmtId="0" fontId="0" fillId="0" borderId="23" xfId="0" applyBorder="1" applyAlignment="1">
      <alignment horizontal="center" vertical="center" wrapText="1"/>
    </xf>
    <xf numFmtId="0" fontId="3" fillId="2" borderId="23" xfId="0" applyFont="1" applyFill="1" applyBorder="1" applyAlignment="1">
      <alignment horizontal="center" vertical="center" wrapText="1"/>
    </xf>
    <xf numFmtId="0" fontId="1" fillId="5" borderId="40" xfId="0" applyFont="1" applyFill="1" applyBorder="1" applyAlignment="1" applyProtection="1">
      <alignment vertical="center"/>
    </xf>
    <xf numFmtId="1" fontId="33" fillId="18" borderId="38" xfId="22" applyNumberFormat="1" applyFill="1" applyBorder="1" applyAlignment="1">
      <alignment wrapText="1"/>
    </xf>
    <xf numFmtId="0" fontId="1" fillId="0" borderId="1" xfId="0" applyFont="1" applyBorder="1" applyAlignment="1">
      <alignment wrapText="1"/>
    </xf>
    <xf numFmtId="0" fontId="1" fillId="0" borderId="21" xfId="0" applyFont="1" applyFill="1" applyBorder="1" applyAlignment="1">
      <alignment wrapText="1"/>
    </xf>
    <xf numFmtId="1" fontId="0" fillId="18" borderId="38" xfId="0" applyNumberFormat="1" applyFill="1" applyBorder="1"/>
    <xf numFmtId="1" fontId="33" fillId="18" borderId="38" xfId="22" applyNumberFormat="1" applyFill="1" applyBorder="1"/>
    <xf numFmtId="1" fontId="33" fillId="18" borderId="61" xfId="22" applyNumberFormat="1" applyFill="1" applyBorder="1" applyAlignment="1">
      <alignment wrapText="1"/>
    </xf>
    <xf numFmtId="1" fontId="33" fillId="18" borderId="61" xfId="22" applyNumberFormat="1" applyFill="1" applyBorder="1"/>
    <xf numFmtId="0" fontId="0" fillId="18" borderId="39" xfId="0" applyFill="1" applyBorder="1" applyAlignment="1">
      <alignment wrapText="1"/>
    </xf>
    <xf numFmtId="0" fontId="0" fillId="18" borderId="39" xfId="0" applyFill="1" applyBorder="1"/>
    <xf numFmtId="1" fontId="33" fillId="18" borderId="60" xfId="22" applyNumberFormat="1" applyFill="1" applyBorder="1" applyAlignment="1">
      <alignment wrapText="1"/>
    </xf>
    <xf numFmtId="1" fontId="33" fillId="18" borderId="60" xfId="22" applyNumberFormat="1" applyFill="1" applyBorder="1"/>
    <xf numFmtId="1" fontId="33" fillId="18" borderId="40" xfId="22" applyNumberFormat="1" applyFill="1" applyBorder="1" applyAlignment="1">
      <alignment wrapText="1"/>
    </xf>
    <xf numFmtId="1" fontId="0" fillId="18" borderId="40" xfId="0" applyNumberFormat="1" applyFill="1" applyBorder="1"/>
    <xf numFmtId="1" fontId="0" fillId="18" borderId="60" xfId="0" applyNumberFormat="1" applyFill="1" applyBorder="1"/>
    <xf numFmtId="49" fontId="0" fillId="0" borderId="23" xfId="0" applyNumberFormat="1" applyBorder="1" applyAlignment="1">
      <alignment horizontal="center" vertical="center" wrapText="1"/>
    </xf>
    <xf numFmtId="0" fontId="1" fillId="0" borderId="23" xfId="0" applyFont="1" applyFill="1" applyBorder="1" applyAlignment="1">
      <alignment horizontal="left" vertical="center" wrapText="1"/>
    </xf>
    <xf numFmtId="0" fontId="1" fillId="0" borderId="74" xfId="0" applyFont="1" applyFill="1" applyBorder="1" applyAlignment="1">
      <alignment wrapText="1"/>
    </xf>
    <xf numFmtId="2" fontId="1" fillId="0" borderId="0" xfId="0" applyNumberFormat="1" applyFont="1" applyFill="1" applyBorder="1" applyAlignment="1" applyProtection="1">
      <alignment horizontal="left" vertical="center"/>
    </xf>
    <xf numFmtId="0" fontId="1" fillId="0" borderId="38" xfId="0" applyFont="1" applyFill="1" applyBorder="1" applyAlignment="1" applyProtection="1">
      <alignment horizontal="left" vertical="center"/>
    </xf>
    <xf numFmtId="0" fontId="1" fillId="0" borderId="23" xfId="0" applyFont="1" applyBorder="1" applyAlignment="1">
      <alignment horizontal="center" vertical="center" wrapText="1"/>
    </xf>
    <xf numFmtId="0" fontId="1" fillId="4" borderId="23" xfId="0" applyFont="1" applyFill="1" applyBorder="1" applyAlignment="1" applyProtection="1">
      <alignment vertical="center"/>
    </xf>
    <xf numFmtId="2" fontId="8" fillId="6" borderId="21" xfId="0" applyNumberFormat="1" applyFont="1" applyFill="1" applyBorder="1" applyAlignment="1" applyProtection="1">
      <alignment horizontal="right" vertical="center"/>
      <protection locked="0"/>
    </xf>
    <xf numFmtId="2" fontId="40" fillId="25" borderId="69" xfId="0" applyNumberFormat="1" applyFont="1" applyFill="1" applyBorder="1" applyAlignment="1" applyProtection="1">
      <alignment vertical="center"/>
    </xf>
    <xf numFmtId="41" fontId="0" fillId="0" borderId="0" xfId="0" applyNumberFormat="1" applyAlignment="1" applyProtection="1">
      <alignment wrapText="1"/>
    </xf>
    <xf numFmtId="0" fontId="7" fillId="0" borderId="23" xfId="13" applyBorder="1" applyAlignment="1" applyProtection="1">
      <alignment horizontal="left" vertical="center" wrapText="1"/>
    </xf>
    <xf numFmtId="0" fontId="3" fillId="5" borderId="23" xfId="0" applyFont="1" applyFill="1" applyBorder="1" applyAlignment="1" applyProtection="1">
      <alignment horizontal="left" vertical="center"/>
    </xf>
    <xf numFmtId="0" fontId="8" fillId="0" borderId="0" xfId="0" applyFont="1" applyFill="1" applyBorder="1" applyAlignment="1" applyProtection="1">
      <alignment horizontal="left" vertical="center"/>
    </xf>
    <xf numFmtId="44" fontId="3" fillId="4" borderId="0" xfId="0" applyNumberFormat="1" applyFont="1" applyFill="1" applyBorder="1" applyAlignment="1" applyProtection="1">
      <alignment vertical="center"/>
    </xf>
    <xf numFmtId="0" fontId="3" fillId="0" borderId="46" xfId="0" applyFont="1" applyFill="1" applyBorder="1" applyAlignment="1" applyProtection="1">
      <alignment horizontal="left" vertical="center"/>
    </xf>
    <xf numFmtId="2" fontId="3" fillId="0" borderId="46" xfId="0" applyNumberFormat="1" applyFont="1" applyFill="1" applyBorder="1" applyAlignment="1" applyProtection="1">
      <alignment horizontal="right" vertical="center"/>
    </xf>
    <xf numFmtId="0" fontId="3" fillId="0" borderId="0" xfId="0" applyFont="1" applyFill="1" applyProtection="1"/>
    <xf numFmtId="0" fontId="1" fillId="0" borderId="0" xfId="0" applyFont="1" applyFill="1" applyProtection="1"/>
    <xf numFmtId="42" fontId="0" fillId="0" borderId="0" xfId="0" applyNumberFormat="1" applyFill="1" applyBorder="1" applyProtection="1"/>
    <xf numFmtId="0" fontId="1" fillId="0" borderId="0" xfId="0" applyFont="1" applyFill="1" applyBorder="1" applyProtection="1"/>
    <xf numFmtId="42" fontId="44" fillId="0" borderId="0" xfId="0" applyNumberFormat="1" applyFont="1" applyFill="1" applyBorder="1" applyProtection="1"/>
    <xf numFmtId="0" fontId="3" fillId="4" borderId="23" xfId="0" applyFont="1" applyFill="1" applyBorder="1" applyAlignment="1">
      <alignment horizontal="left" vertical="center" wrapText="1"/>
    </xf>
    <xf numFmtId="0" fontId="7" fillId="0" borderId="0" xfId="13" applyAlignment="1" applyProtection="1">
      <alignment horizontal="left" vertical="center" wrapText="1"/>
    </xf>
    <xf numFmtId="0" fontId="0" fillId="0" borderId="23" xfId="0" applyFill="1" applyBorder="1" applyAlignment="1">
      <alignment horizontal="left" vertical="center" wrapText="1"/>
    </xf>
    <xf numFmtId="0" fontId="7" fillId="0" borderId="23" xfId="13" applyFill="1" applyBorder="1" applyAlignment="1" applyProtection="1">
      <alignment horizontal="left" vertical="center" wrapText="1"/>
    </xf>
    <xf numFmtId="0" fontId="8" fillId="6" borderId="23" xfId="0" applyFont="1" applyFill="1" applyBorder="1" applyAlignment="1" applyProtection="1">
      <alignment horizontal="right" vertical="center" wrapText="1"/>
      <protection locked="0"/>
    </xf>
    <xf numFmtId="0" fontId="8" fillId="0" borderId="0" xfId="0" applyFont="1" applyFill="1" applyAlignment="1" applyProtection="1">
      <alignment vertical="center" wrapText="1"/>
    </xf>
    <xf numFmtId="41" fontId="0" fillId="0" borderId="0" xfId="0" applyNumberFormat="1" applyAlignment="1" applyProtection="1">
      <alignment vertical="center" wrapText="1"/>
    </xf>
    <xf numFmtId="0" fontId="1" fillId="0" borderId="0" xfId="0" applyFont="1" applyFill="1" applyAlignment="1" applyProtection="1">
      <alignment vertical="center"/>
    </xf>
    <xf numFmtId="0" fontId="1" fillId="18" borderId="23" xfId="0" applyFont="1" applyFill="1" applyBorder="1" applyAlignment="1" applyProtection="1">
      <alignment horizontal="left" vertical="center" wrapText="1"/>
    </xf>
    <xf numFmtId="0" fontId="1" fillId="4" borderId="23" xfId="0" applyFont="1" applyFill="1" applyBorder="1" applyAlignment="1" applyProtection="1">
      <alignment vertical="center" wrapText="1"/>
    </xf>
    <xf numFmtId="0" fontId="7" fillId="18" borderId="23" xfId="13" applyFill="1" applyBorder="1" applyAlignment="1" applyProtection="1">
      <alignment horizontal="left" vertical="center" wrapText="1"/>
    </xf>
    <xf numFmtId="0" fontId="37" fillId="18" borderId="0" xfId="0" applyFont="1" applyFill="1" applyBorder="1" applyAlignment="1" applyProtection="1">
      <alignment vertical="center"/>
    </xf>
    <xf numFmtId="169" fontId="3" fillId="0" borderId="106" xfId="0" applyNumberFormat="1" applyFont="1" applyFill="1" applyBorder="1" applyAlignment="1" applyProtection="1">
      <alignment vertical="center"/>
    </xf>
    <xf numFmtId="1" fontId="3" fillId="6" borderId="43" xfId="0" applyNumberFormat="1" applyFont="1" applyFill="1" applyBorder="1" applyAlignment="1" applyProtection="1">
      <alignment vertical="center"/>
    </xf>
    <xf numFmtId="1" fontId="3" fillId="6" borderId="107" xfId="0" applyNumberFormat="1" applyFont="1" applyFill="1" applyBorder="1" applyAlignment="1" applyProtection="1">
      <alignment vertical="center"/>
    </xf>
    <xf numFmtId="0" fontId="3" fillId="0" borderId="106" xfId="0" applyFont="1" applyFill="1" applyBorder="1" applyAlignment="1" applyProtection="1">
      <alignment vertical="center"/>
    </xf>
    <xf numFmtId="0" fontId="3" fillId="0" borderId="106" xfId="0" applyFont="1" applyBorder="1" applyAlignment="1" applyProtection="1">
      <alignment vertical="center"/>
    </xf>
    <xf numFmtId="0" fontId="8" fillId="6" borderId="21" xfId="0" applyFont="1" applyFill="1" applyBorder="1" applyAlignment="1" applyProtection="1">
      <alignment horizontal="right" vertical="center"/>
      <protection locked="0"/>
    </xf>
    <xf numFmtId="0" fontId="1" fillId="0" borderId="107" xfId="0" applyFont="1" applyFill="1" applyBorder="1" applyAlignment="1" applyProtection="1">
      <alignment vertical="center"/>
    </xf>
    <xf numFmtId="0" fontId="8" fillId="6" borderId="106" xfId="0" applyFont="1" applyFill="1" applyBorder="1" applyAlignment="1" applyProtection="1">
      <alignment horizontal="right" vertical="center"/>
    </xf>
    <xf numFmtId="0" fontId="1" fillId="0" borderId="23" xfId="0" applyFont="1" applyFill="1" applyBorder="1" applyAlignment="1" applyProtection="1">
      <alignment horizontal="left" vertical="center" wrapText="1"/>
    </xf>
    <xf numFmtId="0" fontId="0" fillId="0" borderId="23" xfId="0" applyFill="1" applyBorder="1" applyAlignment="1">
      <alignment wrapText="1"/>
    </xf>
    <xf numFmtId="0" fontId="3" fillId="5" borderId="23" xfId="0" applyFont="1" applyFill="1" applyBorder="1" applyAlignment="1" applyProtection="1">
      <alignment wrapText="1"/>
    </xf>
    <xf numFmtId="0" fontId="0" fillId="0" borderId="23" xfId="0" applyBorder="1" applyAlignment="1">
      <alignment wrapText="1"/>
    </xf>
    <xf numFmtId="0" fontId="1" fillId="0" borderId="38" xfId="0" applyFont="1" applyFill="1" applyBorder="1" applyAlignment="1" applyProtection="1">
      <alignment horizontal="left" vertical="center" wrapText="1"/>
    </xf>
    <xf numFmtId="0" fontId="0" fillId="0" borderId="0" xfId="0" applyAlignment="1">
      <alignment vertical="center" wrapText="1"/>
    </xf>
    <xf numFmtId="0" fontId="1" fillId="0" borderId="38" xfId="0" applyFont="1" applyFill="1" applyBorder="1" applyAlignment="1" applyProtection="1">
      <alignment vertical="center" wrapText="1"/>
    </xf>
    <xf numFmtId="0" fontId="0" fillId="0" borderId="0" xfId="0" applyFill="1" applyBorder="1" applyAlignment="1" applyProtection="1">
      <alignment vertical="center" wrapText="1"/>
    </xf>
    <xf numFmtId="42" fontId="8" fillId="0" borderId="44" xfId="0" applyNumberFormat="1" applyFont="1" applyFill="1" applyBorder="1" applyAlignment="1" applyProtection="1">
      <alignment vertical="center" wrapText="1"/>
    </xf>
    <xf numFmtId="0" fontId="0" fillId="0" borderId="44" xfId="0" applyBorder="1" applyAlignment="1">
      <alignment vertical="center" wrapText="1"/>
    </xf>
    <xf numFmtId="0" fontId="0" fillId="0" borderId="0" xfId="0" applyFill="1" applyAlignment="1">
      <alignment vertical="center" wrapText="1"/>
    </xf>
    <xf numFmtId="0" fontId="0" fillId="0" borderId="38" xfId="0" applyBorder="1" applyAlignment="1">
      <alignment vertical="center" wrapText="1"/>
    </xf>
    <xf numFmtId="0" fontId="1" fillId="0" borderId="38" xfId="0" applyFont="1" applyBorder="1" applyAlignment="1" applyProtection="1">
      <alignment vertical="center" wrapText="1"/>
    </xf>
    <xf numFmtId="0" fontId="1" fillId="0" borderId="23" xfId="0" applyFont="1" applyBorder="1" applyAlignment="1" applyProtection="1">
      <alignment horizontal="left" vertical="center" wrapText="1"/>
    </xf>
    <xf numFmtId="1" fontId="13" fillId="20" borderId="37" xfId="0" applyNumberFormat="1" applyFont="1" applyFill="1" applyBorder="1" applyAlignment="1" applyProtection="1">
      <alignment horizontal="left"/>
    </xf>
    <xf numFmtId="0" fontId="15" fillId="20" borderId="91" xfId="0" applyFont="1" applyFill="1" applyBorder="1" applyAlignment="1" applyProtection="1">
      <alignment horizontal="left"/>
    </xf>
    <xf numFmtId="0" fontId="0" fillId="4" borderId="20" xfId="0" applyFill="1" applyBorder="1" applyAlignment="1" applyProtection="1">
      <alignment horizontal="center" vertical="center"/>
    </xf>
    <xf numFmtId="0" fontId="0" fillId="4" borderId="0" xfId="0" applyFill="1" applyBorder="1" applyAlignment="1" applyProtection="1">
      <alignment horizontal="center" vertical="center" wrapText="1"/>
    </xf>
    <xf numFmtId="0" fontId="0" fillId="0" borderId="0" xfId="0" applyBorder="1" applyAlignment="1" applyProtection="1"/>
    <xf numFmtId="0" fontId="0" fillId="0" borderId="44" xfId="0" applyBorder="1" applyAlignment="1" applyProtection="1"/>
    <xf numFmtId="0" fontId="8" fillId="4" borderId="20" xfId="0" applyFont="1" applyFill="1" applyBorder="1" applyAlignment="1" applyProtection="1">
      <alignment horizontal="center" vertical="center" wrapText="1"/>
    </xf>
    <xf numFmtId="0" fontId="0" fillId="0" borderId="20" xfId="0" applyBorder="1" applyAlignment="1" applyProtection="1">
      <alignment horizontal="center" vertical="center" wrapText="1"/>
    </xf>
    <xf numFmtId="0" fontId="0" fillId="0" borderId="103" xfId="0" applyBorder="1" applyAlignment="1" applyProtection="1">
      <alignment horizontal="center" vertical="center" wrapText="1"/>
    </xf>
    <xf numFmtId="0" fontId="0" fillId="4" borderId="20" xfId="0" applyFill="1" applyBorder="1" applyAlignment="1" applyProtection="1">
      <alignment horizontal="center" vertical="center" wrapText="1"/>
    </xf>
    <xf numFmtId="0" fontId="13" fillId="4" borderId="14" xfId="0" applyFont="1" applyFill="1" applyBorder="1" applyAlignment="1" applyProtection="1">
      <alignment horizontal="left"/>
    </xf>
    <xf numFmtId="0" fontId="13" fillId="4" borderId="3" xfId="0" applyFont="1" applyFill="1" applyBorder="1" applyAlignment="1" applyProtection="1">
      <alignment horizontal="left"/>
    </xf>
    <xf numFmtId="0" fontId="13" fillId="14" borderId="51" xfId="0" applyFont="1" applyFill="1" applyBorder="1" applyAlignment="1" applyProtection="1">
      <alignment horizontal="center"/>
    </xf>
    <xf numFmtId="0" fontId="0" fillId="0" borderId="104" xfId="0" applyBorder="1" applyAlignment="1">
      <alignment horizontal="center"/>
    </xf>
    <xf numFmtId="0" fontId="0" fillId="0" borderId="24" xfId="0" applyBorder="1" applyAlignment="1">
      <alignment horizontal="center"/>
    </xf>
    <xf numFmtId="0" fontId="15" fillId="24" borderId="14" xfId="0" applyFont="1" applyFill="1" applyBorder="1" applyAlignment="1" applyProtection="1">
      <alignment horizontal="center" wrapText="1"/>
    </xf>
    <xf numFmtId="0" fontId="0" fillId="24" borderId="103" xfId="0" applyFill="1" applyBorder="1" applyAlignment="1">
      <alignment wrapText="1"/>
    </xf>
    <xf numFmtId="0" fontId="8" fillId="0" borderId="0" xfId="0" applyFont="1" applyFill="1" applyBorder="1" applyAlignment="1">
      <alignment wrapText="1"/>
    </xf>
    <xf numFmtId="0" fontId="0" fillId="0" borderId="0" xfId="0" applyBorder="1" applyAlignment="1">
      <alignment wrapText="1"/>
    </xf>
    <xf numFmtId="0" fontId="0" fillId="0" borderId="39" xfId="0" applyBorder="1" applyAlignment="1">
      <alignment wrapText="1"/>
    </xf>
    <xf numFmtId="44" fontId="8" fillId="18" borderId="21" xfId="0" applyNumberFormat="1" applyFont="1" applyFill="1" applyBorder="1" applyAlignment="1" applyProtection="1">
      <alignment horizontal="center" vertical="center" wrapText="1"/>
    </xf>
    <xf numFmtId="0" fontId="0" fillId="0" borderId="22" xfId="0" applyBorder="1" applyAlignment="1" applyProtection="1">
      <alignment horizontal="center" vertical="center"/>
    </xf>
    <xf numFmtId="0" fontId="3" fillId="5" borderId="40" xfId="0" applyFont="1" applyFill="1" applyBorder="1" applyAlignment="1">
      <alignment wrapText="1"/>
    </xf>
    <xf numFmtId="0" fontId="3" fillId="5" borderId="46" xfId="0" applyFont="1" applyFill="1" applyBorder="1" applyAlignment="1">
      <alignment wrapText="1"/>
    </xf>
    <xf numFmtId="0" fontId="3" fillId="5" borderId="34" xfId="0" applyFont="1" applyFill="1" applyBorder="1" applyAlignment="1">
      <alignment wrapText="1"/>
    </xf>
  </cellXfs>
  <cellStyles count="27">
    <cellStyle name="Atalnod 2" xfId="1"/>
    <cellStyle name="Canran 2" xfId="2"/>
    <cellStyle name="Comma" xfId="3" builtinId="3"/>
    <cellStyle name="Comma 2" xfId="4"/>
    <cellStyle name="Comma 3" xfId="5"/>
    <cellStyle name="Comma0" xfId="6"/>
    <cellStyle name="Currency0" xfId="7"/>
    <cellStyle name="Date" xfId="8"/>
    <cellStyle name="Fixed" xfId="9"/>
    <cellStyle name="Heading 1 2" xfId="10"/>
    <cellStyle name="Heading 2 2" xfId="11"/>
    <cellStyle name="Highlight" xfId="12"/>
    <cellStyle name="Hyperlink" xfId="13" builtinId="8"/>
    <cellStyle name="Hyperlink 2" xfId="14"/>
    <cellStyle name="Normal" xfId="0" builtinId="0"/>
    <cellStyle name="Normal 2" xfId="15"/>
    <cellStyle name="Normal 2 2" xfId="16"/>
    <cellStyle name="Normal 2 3" xfId="17"/>
    <cellStyle name="Normal 2 4" xfId="18"/>
    <cellStyle name="Normal 3" xfId="19"/>
    <cellStyle name="Normal 3 2" xfId="20"/>
    <cellStyle name="Normal 4" xfId="21"/>
    <cellStyle name="Normal 5" xfId="22"/>
    <cellStyle name="Percent 2" xfId="23"/>
    <cellStyle name="Percent 3" xfId="24"/>
    <cellStyle name="Percent 4" xfId="25"/>
    <cellStyle name="Total 2" xfId="26"/>
  </cellStyles>
  <dxfs count="65">
    <dxf>
      <font>
        <color theme="0"/>
      </font>
      <fill>
        <patternFill>
          <bgColor rgb="FF92D050"/>
        </patternFill>
      </fill>
    </dxf>
    <dxf>
      <font>
        <b val="0"/>
        <i val="0"/>
        <color theme="0"/>
      </font>
      <fill>
        <patternFill>
          <bgColor rgb="FFFF0000"/>
        </patternFill>
      </fill>
    </dxf>
    <dxf>
      <font>
        <color theme="0"/>
      </font>
      <fill>
        <patternFill>
          <bgColor rgb="FFFFC000"/>
        </patternFill>
      </fill>
    </dxf>
    <dxf>
      <font>
        <color theme="0"/>
      </font>
      <fill>
        <patternFill>
          <bgColor rgb="FFFF0000"/>
        </patternFill>
      </fill>
    </dxf>
    <dxf>
      <font>
        <color theme="0"/>
      </font>
      <fill>
        <patternFill>
          <bgColor rgb="FF92D050"/>
        </patternFill>
      </fill>
    </dxf>
    <dxf>
      <font>
        <color theme="0"/>
      </font>
      <fill>
        <patternFill>
          <bgColor rgb="FF92D050"/>
        </patternFill>
      </fill>
    </dxf>
    <dxf>
      <font>
        <color theme="0"/>
      </font>
      <fill>
        <patternFill>
          <bgColor rgb="FFFF0000"/>
        </patternFill>
      </fill>
    </dxf>
    <dxf>
      <font>
        <color theme="0"/>
      </font>
      <fill>
        <patternFill>
          <bgColor rgb="FF92D050"/>
        </patternFill>
      </fill>
    </dxf>
    <dxf>
      <font>
        <color theme="0"/>
      </font>
      <fill>
        <patternFill>
          <bgColor rgb="FFFF0000"/>
        </patternFill>
      </fill>
    </dxf>
    <dxf>
      <font>
        <color theme="0"/>
      </font>
      <fill>
        <patternFill>
          <bgColor rgb="FF92D050"/>
        </patternFill>
      </fill>
    </dxf>
    <dxf>
      <font>
        <color theme="0"/>
      </font>
      <fill>
        <patternFill>
          <bgColor rgb="FFFF0000"/>
        </patternFill>
      </fill>
    </dxf>
    <dxf>
      <font>
        <color theme="0"/>
      </font>
      <fill>
        <patternFill>
          <bgColor rgb="FF92D050"/>
        </patternFill>
      </fill>
    </dxf>
    <dxf>
      <font>
        <color theme="0"/>
      </font>
      <fill>
        <patternFill>
          <bgColor rgb="FFFF0000"/>
        </patternFill>
      </fill>
    </dxf>
    <dxf>
      <font>
        <color theme="0"/>
      </font>
      <fill>
        <patternFill>
          <bgColor rgb="FF92D050"/>
        </patternFill>
      </fill>
    </dxf>
    <dxf>
      <font>
        <color theme="0"/>
      </font>
      <fill>
        <patternFill>
          <bgColor rgb="FFFF0000"/>
        </patternFill>
      </fill>
    </dxf>
    <dxf>
      <font>
        <color theme="0"/>
      </font>
      <fill>
        <patternFill>
          <bgColor rgb="FF92D050"/>
        </patternFill>
      </fill>
    </dxf>
    <dxf>
      <font>
        <color theme="0"/>
      </font>
      <fill>
        <patternFill>
          <bgColor rgb="FFFF0000"/>
        </patternFill>
      </fill>
    </dxf>
    <dxf>
      <font>
        <strike val="0"/>
        <color theme="0"/>
      </font>
      <fill>
        <patternFill>
          <bgColor theme="0"/>
        </patternFill>
      </fill>
    </dxf>
    <dxf>
      <font>
        <color theme="0"/>
      </font>
      <fill>
        <patternFill>
          <bgColor rgb="FFFF0000"/>
        </patternFill>
      </fill>
      <border>
        <left/>
        <right/>
        <top/>
        <bottom/>
      </border>
    </dxf>
    <dxf>
      <font>
        <color theme="0"/>
      </font>
      <fill>
        <patternFill>
          <bgColor theme="0"/>
        </patternFill>
      </fill>
    </dxf>
    <dxf>
      <font>
        <color theme="0"/>
      </font>
      <fill>
        <patternFill>
          <bgColor theme="0"/>
        </patternFill>
      </fill>
    </dxf>
    <dxf>
      <fill>
        <patternFill>
          <bgColor rgb="FF92D050"/>
        </patternFill>
      </fill>
    </dxf>
    <dxf>
      <fill>
        <patternFill>
          <bgColor rgb="FFFF0000"/>
        </patternFill>
      </fill>
    </dxf>
    <dxf>
      <font>
        <color theme="0"/>
      </font>
      <fill>
        <patternFill>
          <bgColor rgb="FF92D050"/>
        </patternFill>
      </fill>
    </dxf>
    <dxf>
      <font>
        <color theme="0"/>
      </font>
      <fill>
        <patternFill>
          <bgColor rgb="FFFF0000"/>
        </patternFill>
      </fill>
    </dxf>
    <dxf>
      <font>
        <color theme="0"/>
      </font>
      <fill>
        <patternFill>
          <bgColor rgb="FF92D050"/>
        </patternFill>
      </fill>
    </dxf>
    <dxf>
      <font>
        <color theme="0"/>
      </font>
      <fill>
        <patternFill>
          <bgColor rgb="FFFF0000"/>
        </patternFill>
      </fill>
    </dxf>
    <dxf>
      <font>
        <color theme="0"/>
      </font>
      <fill>
        <patternFill>
          <bgColor rgb="FF92D05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92D050"/>
        </patternFill>
      </fill>
    </dxf>
    <dxf>
      <font>
        <color theme="0"/>
      </font>
      <fill>
        <patternFill>
          <bgColor rgb="FFFF0000"/>
        </patternFill>
      </fill>
    </dxf>
    <dxf>
      <font>
        <color theme="0"/>
      </font>
      <fill>
        <patternFill>
          <bgColor rgb="FFFF0000"/>
        </patternFill>
      </fill>
    </dxf>
    <dxf>
      <font>
        <color theme="0"/>
      </font>
      <fill>
        <patternFill patternType="none">
          <bgColor indexed="65"/>
        </patternFill>
      </fill>
    </dxf>
    <dxf>
      <font>
        <color theme="0"/>
      </font>
      <fill>
        <patternFill patternType="none">
          <bgColor indexed="65"/>
        </patternFill>
      </fill>
    </dxf>
    <dxf>
      <font>
        <color theme="0"/>
      </font>
      <fill>
        <patternFill patternType="none">
          <bgColor indexed="65"/>
        </patternFill>
      </fill>
    </dxf>
    <dxf>
      <font>
        <color theme="0"/>
      </font>
      <fill>
        <patternFill patternType="none">
          <bgColor indexed="65"/>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92D050"/>
        </patternFill>
      </fill>
    </dxf>
    <dxf>
      <fill>
        <patternFill>
          <bgColor rgb="FF92D050"/>
        </patternFill>
      </fill>
    </dxf>
    <dxf>
      <fill>
        <patternFill>
          <bgColor rgb="FFFF0000"/>
        </patternFill>
      </fill>
    </dxf>
    <dxf>
      <fill>
        <patternFill>
          <bgColor rgb="FF92D050"/>
        </patternFill>
      </fill>
    </dxf>
    <dxf>
      <font>
        <color theme="0"/>
      </font>
      <fill>
        <patternFill>
          <bgColor rgb="FFFF0000"/>
        </patternFill>
      </fill>
    </dxf>
    <dxf>
      <font>
        <color theme="0"/>
      </font>
      <fill>
        <patternFill>
          <bgColor rgb="FFFF0000"/>
        </patternFill>
      </fill>
    </dxf>
    <dxf>
      <fill>
        <patternFill>
          <bgColor theme="0" tint="-4.9989318521683403E-2"/>
        </patternFill>
      </fill>
    </dxf>
    <dxf>
      <border>
        <left style="thin">
          <color auto="1"/>
        </left>
        <right style="thin">
          <color auto="1"/>
        </right>
        <top style="thin">
          <color auto="1"/>
        </top>
        <bottom style="thin">
          <color auto="1"/>
        </bottom>
      </border>
    </dxf>
    <dxf>
      <font>
        <b/>
        <i val="0"/>
        <color auto="1"/>
      </font>
      <fill>
        <patternFill>
          <bgColor theme="0" tint="-0.14996795556505021"/>
        </patternFill>
      </fill>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s>
  <tableStyles count="1" defaultTableStyle="TableStyleMedium2" defaultPivotStyle="PivotStyleLight16">
    <tableStyle name="FS 2020" pivot="0" count="4">
      <tableStyleElement type="wholeTable" dxfId="64"/>
      <tableStyleElement type="headerRow" dxfId="63"/>
      <tableStyleElement type="firstColumn" dxfId="62"/>
      <tableStyleElement type="firstRowStripe" dxfId="61"/>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0" i="0" u="none" strike="noStrike" baseline="0">
                <a:solidFill>
                  <a:srgbClr val="333333"/>
                </a:solidFill>
                <a:latin typeface="Calibri"/>
                <a:ea typeface="Calibri"/>
                <a:cs typeface="Calibri"/>
              </a:defRPr>
            </a:pPr>
            <a:r>
              <a:rPr lang="en-GB"/>
              <a:t>Share of Income by source (Discounted)</a:t>
            </a:r>
          </a:p>
        </c:rich>
      </c:tx>
      <c:overlay val="0"/>
      <c:spPr>
        <a:noFill/>
        <a:ln w="25400">
          <a:noFill/>
        </a:ln>
      </c:spPr>
    </c:title>
    <c:autoTitleDeleted val="0"/>
    <c:plotArea>
      <c:layout>
        <c:manualLayout>
          <c:layoutTarget val="inner"/>
          <c:xMode val="edge"/>
          <c:yMode val="edge"/>
          <c:x val="0.20871589164561977"/>
          <c:y val="0.10741034458998112"/>
          <c:w val="0.5792080423909276"/>
          <c:h val="0.73264979109114936"/>
        </c:manualLayout>
      </c:layout>
      <c:pieChart>
        <c:varyColors val="1"/>
        <c:ser>
          <c:idx val="1"/>
          <c:order val="0"/>
          <c:spPr>
            <a:ln>
              <a:solidFill>
                <a:schemeClr val="accent3">
                  <a:lumMod val="60000"/>
                  <a:lumOff val="40000"/>
                </a:schemeClr>
              </a:solidFill>
            </a:ln>
          </c:spPr>
          <c:dPt>
            <c:idx val="0"/>
            <c:bubble3D val="0"/>
            <c:spPr>
              <a:solidFill>
                <a:srgbClr val="FFFF00"/>
              </a:solidFill>
              <a:ln w="19050">
                <a:solidFill>
                  <a:schemeClr val="accent3">
                    <a:lumMod val="60000"/>
                    <a:lumOff val="40000"/>
                  </a:schemeClr>
                </a:solidFill>
              </a:ln>
              <a:effectLst/>
            </c:spPr>
            <c:extLst>
              <c:ext xmlns:c16="http://schemas.microsoft.com/office/drawing/2014/chart" uri="{C3380CC4-5D6E-409C-BE32-E72D297353CC}">
                <c16:uniqueId val="{00000000-0B32-4D6B-8B9A-97A571DD9C8A}"/>
              </c:ext>
            </c:extLst>
          </c:dPt>
          <c:dPt>
            <c:idx val="1"/>
            <c:bubble3D val="0"/>
            <c:spPr>
              <a:solidFill>
                <a:schemeClr val="accent5">
                  <a:lumMod val="40000"/>
                  <a:lumOff val="60000"/>
                </a:schemeClr>
              </a:solidFill>
              <a:ln w="19050">
                <a:solidFill>
                  <a:schemeClr val="accent3">
                    <a:lumMod val="60000"/>
                    <a:lumOff val="40000"/>
                  </a:schemeClr>
                </a:solidFill>
              </a:ln>
              <a:effectLst/>
            </c:spPr>
            <c:extLst>
              <c:ext xmlns:c16="http://schemas.microsoft.com/office/drawing/2014/chart" uri="{C3380CC4-5D6E-409C-BE32-E72D297353CC}">
                <c16:uniqueId val="{00000001-0B32-4D6B-8B9A-97A571DD9C8A}"/>
              </c:ext>
            </c:extLst>
          </c:dPt>
          <c:dPt>
            <c:idx val="2"/>
            <c:bubble3D val="0"/>
            <c:spPr>
              <a:solidFill>
                <a:schemeClr val="accent3">
                  <a:lumMod val="75000"/>
                </a:schemeClr>
              </a:solidFill>
              <a:ln w="19050">
                <a:solidFill>
                  <a:schemeClr val="accent3">
                    <a:lumMod val="60000"/>
                    <a:lumOff val="40000"/>
                  </a:schemeClr>
                </a:solidFill>
              </a:ln>
              <a:effectLst/>
            </c:spPr>
            <c:extLst>
              <c:ext xmlns:c16="http://schemas.microsoft.com/office/drawing/2014/chart" uri="{C3380CC4-5D6E-409C-BE32-E72D297353CC}">
                <c16:uniqueId val="{00000002-0B32-4D6B-8B9A-97A571DD9C8A}"/>
              </c:ext>
            </c:extLst>
          </c:dPt>
          <c:dPt>
            <c:idx val="3"/>
            <c:bubble3D val="0"/>
            <c:spPr>
              <a:solidFill>
                <a:schemeClr val="accent3">
                  <a:lumMod val="60000"/>
                  <a:lumOff val="40000"/>
                </a:schemeClr>
              </a:solidFill>
              <a:ln w="19050">
                <a:solidFill>
                  <a:schemeClr val="accent3">
                    <a:lumMod val="60000"/>
                    <a:lumOff val="40000"/>
                  </a:schemeClr>
                </a:solidFill>
              </a:ln>
              <a:effectLst/>
            </c:spPr>
            <c:extLst>
              <c:ext xmlns:c16="http://schemas.microsoft.com/office/drawing/2014/chart" uri="{C3380CC4-5D6E-409C-BE32-E72D297353CC}">
                <c16:uniqueId val="{00000003-0B32-4D6B-8B9A-97A571DD9C8A}"/>
              </c:ext>
            </c:extLst>
          </c:dPt>
          <c:dPt>
            <c:idx val="4"/>
            <c:bubble3D val="0"/>
            <c:spPr>
              <a:solidFill>
                <a:schemeClr val="accent3">
                  <a:lumMod val="40000"/>
                  <a:lumOff val="60000"/>
                </a:schemeClr>
              </a:solidFill>
              <a:ln w="19050">
                <a:solidFill>
                  <a:schemeClr val="accent3">
                    <a:lumMod val="40000"/>
                    <a:lumOff val="60000"/>
                  </a:schemeClr>
                </a:solidFill>
              </a:ln>
              <a:effectLst/>
            </c:spPr>
            <c:extLst>
              <c:ext xmlns:c16="http://schemas.microsoft.com/office/drawing/2014/chart" uri="{C3380CC4-5D6E-409C-BE32-E72D297353CC}">
                <c16:uniqueId val="{00000004-0B32-4D6B-8B9A-97A571DD9C8A}"/>
              </c:ext>
            </c:extLst>
          </c:dPt>
          <c:dLbls>
            <c:spPr>
              <a:noFill/>
              <a:ln w="25400">
                <a:noFill/>
              </a:ln>
            </c:spPr>
            <c:txPr>
              <a:bodyPr wrap="square" lIns="38100" tIns="19050" rIns="38100" bIns="19050" anchor="ctr">
                <a:spAutoFit/>
              </a:bodyPr>
              <a:lstStyle/>
              <a:p>
                <a:pPr>
                  <a:defRPr sz="1200" b="0" i="0" u="none" strike="noStrike" baseline="0">
                    <a:solidFill>
                      <a:srgbClr val="000000"/>
                    </a:solidFill>
                    <a:latin typeface="Calibri"/>
                    <a:ea typeface="Calibri"/>
                    <a:cs typeface="Calibri"/>
                  </a:defRPr>
                </a:pPr>
                <a:endParaRPr lang="en-US"/>
              </a:p>
            </c:txPr>
            <c:dLblPos val="in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Results!$C$13:$G$13</c:f>
              <c:strCache>
                <c:ptCount val="5"/>
                <c:pt idx="0">
                  <c:v>Carbon</c:v>
                </c:pt>
                <c:pt idx="1">
                  <c:v>Grant</c:v>
                </c:pt>
                <c:pt idx="2">
                  <c:v>Timber</c:v>
                </c:pt>
                <c:pt idx="3">
                  <c:v>Donations</c:v>
                </c:pt>
                <c:pt idx="4">
                  <c:v>Other</c:v>
                </c:pt>
              </c:strCache>
            </c:strRef>
          </c:cat>
          <c:val>
            <c:numRef>
              <c:f>Results!$C$14:$G$14</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5-0B32-4D6B-8B9A-97A571DD9C8A}"/>
            </c:ext>
          </c:extLst>
        </c:ser>
        <c:dLbls>
          <c:showLegendKey val="0"/>
          <c:showVal val="0"/>
          <c:showCatName val="0"/>
          <c:showSerName val="0"/>
          <c:showPercent val="0"/>
          <c:showBubbleSize val="0"/>
          <c:showLeaderLines val="1"/>
        </c:dLbls>
        <c:firstSliceAng val="0"/>
      </c:pieChart>
      <c:spPr>
        <a:noFill/>
        <a:ln w="25400">
          <a:noFill/>
        </a:ln>
      </c:spPr>
    </c:plotArea>
    <c:legend>
      <c:legendPos val="r"/>
      <c:legendEntry>
        <c:idx val="0"/>
        <c:txPr>
          <a:bodyPr/>
          <a:lstStyle/>
          <a:p>
            <a:pPr>
              <a:defRPr sz="1285" b="0" i="0" u="none" strike="noStrike" baseline="0">
                <a:solidFill>
                  <a:srgbClr val="333333"/>
                </a:solidFill>
                <a:latin typeface="Calibri"/>
                <a:ea typeface="Calibri"/>
                <a:cs typeface="Calibri"/>
              </a:defRPr>
            </a:pPr>
            <a:endParaRPr lang="en-US"/>
          </a:p>
        </c:txPr>
      </c:legendEntry>
      <c:legendEntry>
        <c:idx val="1"/>
        <c:txPr>
          <a:bodyPr/>
          <a:lstStyle/>
          <a:p>
            <a:pPr>
              <a:defRPr sz="1285" b="0" i="0" u="none" strike="noStrike" baseline="0">
                <a:solidFill>
                  <a:srgbClr val="333333"/>
                </a:solidFill>
                <a:latin typeface="Calibri"/>
                <a:ea typeface="Calibri"/>
                <a:cs typeface="Calibri"/>
              </a:defRPr>
            </a:pPr>
            <a:endParaRPr lang="en-US"/>
          </a:p>
        </c:txPr>
      </c:legendEntry>
      <c:legendEntry>
        <c:idx val="2"/>
        <c:txPr>
          <a:bodyPr/>
          <a:lstStyle/>
          <a:p>
            <a:pPr>
              <a:defRPr sz="1285" b="0" i="0" u="none" strike="noStrike" baseline="0">
                <a:solidFill>
                  <a:srgbClr val="333333"/>
                </a:solidFill>
                <a:latin typeface="Calibri"/>
                <a:ea typeface="Calibri"/>
                <a:cs typeface="Calibri"/>
              </a:defRPr>
            </a:pPr>
            <a:endParaRPr lang="en-US"/>
          </a:p>
        </c:txPr>
      </c:legendEntry>
      <c:legendEntry>
        <c:idx val="3"/>
        <c:txPr>
          <a:bodyPr/>
          <a:lstStyle/>
          <a:p>
            <a:pPr>
              <a:defRPr sz="1285" b="0" i="0" u="none" strike="noStrike" baseline="0">
                <a:solidFill>
                  <a:srgbClr val="333333"/>
                </a:solidFill>
                <a:latin typeface="Calibri"/>
                <a:ea typeface="Calibri"/>
                <a:cs typeface="Calibri"/>
              </a:defRPr>
            </a:pPr>
            <a:endParaRPr lang="en-US"/>
          </a:p>
        </c:txPr>
      </c:legendEntry>
      <c:legendEntry>
        <c:idx val="4"/>
        <c:txPr>
          <a:bodyPr/>
          <a:lstStyle/>
          <a:p>
            <a:pPr>
              <a:defRPr sz="1285" b="0" i="0" u="none" strike="noStrike" baseline="0">
                <a:solidFill>
                  <a:srgbClr val="333333"/>
                </a:solidFill>
                <a:latin typeface="Calibri"/>
                <a:ea typeface="Calibri"/>
                <a:cs typeface="Calibri"/>
              </a:defRPr>
            </a:pPr>
            <a:endParaRPr lang="en-US"/>
          </a:p>
        </c:txPr>
      </c:legendEntry>
      <c:layout>
        <c:manualLayout>
          <c:xMode val="edge"/>
          <c:yMode val="edge"/>
          <c:x val="0.10571923743500866"/>
          <c:y val="0.89429175475687106"/>
          <c:w val="0.78162984392982071"/>
          <c:h val="6.342494714587732E-2"/>
        </c:manualLayout>
      </c:layout>
      <c:overlay val="0"/>
      <c:spPr>
        <a:noFill/>
        <a:ln w="25400">
          <a:noFill/>
        </a:ln>
      </c:spPr>
      <c:txPr>
        <a:bodyPr/>
        <a:lstStyle/>
        <a:p>
          <a:pPr>
            <a:defRPr sz="1100" b="0" i="0" u="none" strike="noStrike" baseline="0">
              <a:solidFill>
                <a:srgbClr val="333333"/>
              </a:solidFill>
              <a:latin typeface="Calibri"/>
              <a:ea typeface="Calibri"/>
              <a:cs typeface="Calibri"/>
            </a:defRPr>
          </a:pPr>
          <a:endParaRPr lang="en-US"/>
        </a:p>
      </c:txPr>
    </c:legend>
    <c:plotVisOnly val="1"/>
    <c:dispBlanksAs val="gap"/>
    <c:showDLblsOverMax val="0"/>
  </c:chart>
  <c:spPr>
    <a:solidFill>
      <a:schemeClr val="bg1"/>
    </a:solidFill>
    <a:ln w="9525" cap="flat" cmpd="sng" algn="ctr">
      <a:solidFill>
        <a:schemeClr val="tx1"/>
      </a:solidFill>
      <a:round/>
    </a:ln>
    <a:effectLst/>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19050</xdr:colOff>
      <xdr:row>15</xdr:row>
      <xdr:rowOff>19050</xdr:rowOff>
    </xdr:from>
    <xdr:to>
      <xdr:col>4</xdr:col>
      <xdr:colOff>1457325</xdr:colOff>
      <xdr:row>39</xdr:row>
      <xdr:rowOff>123825</xdr:rowOff>
    </xdr:to>
    <xdr:graphicFrame macro="">
      <xdr:nvGraphicFramePr>
        <xdr:cNvPr id="238822" name="Chart 1">
          <a:extLst>
            <a:ext uri="{FF2B5EF4-FFF2-40B4-BE49-F238E27FC236}">
              <a16:creationId xmlns:a16="http://schemas.microsoft.com/office/drawing/2014/main" id="{00000000-0008-0000-0300-0000E6A403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17</xdr:row>
      <xdr:rowOff>0</xdr:rowOff>
    </xdr:from>
    <xdr:to>
      <xdr:col>3</xdr:col>
      <xdr:colOff>1352550</xdr:colOff>
      <xdr:row>58</xdr:row>
      <xdr:rowOff>142875</xdr:rowOff>
    </xdr:to>
    <xdr:pic>
      <xdr:nvPicPr>
        <xdr:cNvPr id="90321" name="Picture 1">
          <a:extLst>
            <a:ext uri="{FF2B5EF4-FFF2-40B4-BE49-F238E27FC236}">
              <a16:creationId xmlns:a16="http://schemas.microsoft.com/office/drawing/2014/main" id="{00000000-0008-0000-0700-0000D16001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209925"/>
          <a:ext cx="6496050" cy="6781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3" Type="http://schemas.openxmlformats.org/officeDocument/2006/relationships/hyperlink" Target="https://magic.defra.gov.uk/MagicMap.aspx" TargetMode="External"/><Relationship Id="rId7" Type="http://schemas.openxmlformats.org/officeDocument/2006/relationships/printerSettings" Target="../printerSettings/printerSettings2.bin"/><Relationship Id="rId2" Type="http://schemas.openxmlformats.org/officeDocument/2006/relationships/hyperlink" Target="https://spatialdata.gov.scot/geonetwork/srv/eng/catalog.search" TargetMode="External"/><Relationship Id="rId1" Type="http://schemas.openxmlformats.org/officeDocument/2006/relationships/hyperlink" Target="https://www.ruralpayments.org/publicsite/futures/topics/all-schemes/forestry-grant-scheme/forest-infrastructure/" TargetMode="External"/><Relationship Id="rId6" Type="http://schemas.openxmlformats.org/officeDocument/2006/relationships/hyperlink" Target="https://datamap.gov.wales/maps/new" TargetMode="External"/><Relationship Id="rId5" Type="http://schemas.openxmlformats.org/officeDocument/2006/relationships/hyperlink" Target="https://map.environment.gov.scot/sewebmap/" TargetMode="External"/><Relationship Id="rId4" Type="http://schemas.openxmlformats.org/officeDocument/2006/relationships/hyperlink" Target="https://magic.defra.gov.uk/MagicMap.aspx"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hyperlink" Target="https://woodlandcarboncode.org.uk/woodland-carbon-guarantee" TargetMode="External"/><Relationship Id="rId2" Type="http://schemas.openxmlformats.org/officeDocument/2006/relationships/hyperlink" Target="https://www.forestresearch.gov.uk/tools-and-resources/statistics/statistics-by-topic/timber-statistics/timber-price-indices/?msclkid=e312047aab5b11eca44e6bb8625fc463" TargetMode="External"/><Relationship Id="rId1" Type="http://schemas.openxmlformats.org/officeDocument/2006/relationships/hyperlink" Target="https://www.forestresearch.gov.uk/tools-and-resources/fthr/forest-yield/" TargetMode="External"/><Relationship Id="rId5" Type="http://schemas.openxmlformats.org/officeDocument/2006/relationships/printerSettings" Target="../printerSettings/printerSettings6.bin"/><Relationship Id="rId4" Type="http://schemas.openxmlformats.org/officeDocument/2006/relationships/hyperlink" Target="https://www.growninbritain.org/wp-content/uploads/2020/04/BritishHardwoodsData-Sycamore.pdf"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https://www.daera-ni.gov.uk/sites/default/files/publications/daera/Forest%20Expansion%20Scheme%20Questions%20and%20Answers%202020-2021.pdf" TargetMode="External"/><Relationship Id="rId3" Type="http://schemas.openxmlformats.org/officeDocument/2006/relationships/hyperlink" Target="http://www.farmbusinesssurvey.co.uk/DataBuilder/" TargetMode="External"/><Relationship Id="rId7" Type="http://schemas.openxmlformats.org/officeDocument/2006/relationships/hyperlink" Target="https://www.daera-ni.gov.uk/publications/farm-incomes-northern-ireland-2004-onwards" TargetMode="External"/><Relationship Id="rId12" Type="http://schemas.openxmlformats.org/officeDocument/2006/relationships/printerSettings" Target="../printerSettings/printerSettings7.bin"/><Relationship Id="rId2" Type="http://schemas.openxmlformats.org/officeDocument/2006/relationships/hyperlink" Target="http://www.farmbusinesssurvey.co.uk/DataBuilder/" TargetMode="External"/><Relationship Id="rId1" Type="http://schemas.openxmlformats.org/officeDocument/2006/relationships/hyperlink" Target="http://www.farmbusinesssurvey.co.uk/DataBuilder/" TargetMode="External"/><Relationship Id="rId6" Type="http://schemas.openxmlformats.org/officeDocument/2006/relationships/hyperlink" Target="http://www.farmbusinesssurvey.co.uk/DataBuilder/" TargetMode="External"/><Relationship Id="rId11" Type="http://schemas.openxmlformats.org/officeDocument/2006/relationships/hyperlink" Target="https://gov.wales/glastir-woodland-creation-window-11-september-2021-rules-booklet-html" TargetMode="External"/><Relationship Id="rId5" Type="http://schemas.openxmlformats.org/officeDocument/2006/relationships/hyperlink" Target="https://www.gov.scot/publications/scottish-farm-business-income-annual-estimates-2019-2020/documents/" TargetMode="External"/><Relationship Id="rId10" Type="http://schemas.openxmlformats.org/officeDocument/2006/relationships/hyperlink" Target="https://assets.publishing.service.gov.uk/government/uploads/system/uploads/attachment_data/file/992079/ON042_-_Guidance_on_woodland_grant_schemes_and_BPS_v5.0_issued_09062021.pdf" TargetMode="External"/><Relationship Id="rId4" Type="http://schemas.openxmlformats.org/officeDocument/2006/relationships/hyperlink" Target="https://www.gov.scot/publications/scottish-farm-business-income-annual-estimates-2019-2020/documents/" TargetMode="External"/><Relationship Id="rId9" Type="http://schemas.openxmlformats.org/officeDocument/2006/relationships/hyperlink" Target="https://www.fas.scot/downloads/sf-forestry-grant-scheme-woodland-creation/" TargetMode="Externa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0"/>
  <sheetViews>
    <sheetView tabSelected="1" zoomScale="80" zoomScaleNormal="80" workbookViewId="0"/>
  </sheetViews>
  <sheetFormatPr defaultRowHeight="12.75" x14ac:dyDescent="0.2"/>
  <cols>
    <col min="1" max="1" width="36.375" customWidth="1"/>
    <col min="2" max="2" width="110.125" style="1" customWidth="1"/>
  </cols>
  <sheetData>
    <row r="1" spans="1:6" s="237" customFormat="1" ht="50.1" customHeight="1" thickBot="1" x14ac:dyDescent="0.25">
      <c r="A1" s="133" t="s">
        <v>320</v>
      </c>
      <c r="B1" s="236"/>
    </row>
    <row r="2" spans="1:6" s="212" customFormat="1" ht="50.1" customHeight="1" thickBot="1" x14ac:dyDescent="0.25">
      <c r="A2" s="949" t="s">
        <v>166</v>
      </c>
      <c r="B2" s="235" t="s">
        <v>506</v>
      </c>
    </row>
    <row r="3" spans="1:6" s="212" customFormat="1" ht="50.1" customHeight="1" thickBot="1" x14ac:dyDescent="0.25">
      <c r="A3" s="213" t="s">
        <v>167</v>
      </c>
      <c r="B3" s="234" t="s">
        <v>500</v>
      </c>
    </row>
    <row r="4" spans="1:6" s="212" customFormat="1" ht="50.1" customHeight="1" thickBot="1" x14ac:dyDescent="0.25">
      <c r="A4" s="948" t="s">
        <v>315</v>
      </c>
      <c r="B4" s="947" t="s">
        <v>491</v>
      </c>
    </row>
    <row r="5" spans="1:6" s="212" customFormat="1" ht="50.1" customHeight="1" thickBot="1" x14ac:dyDescent="0.25">
      <c r="A5" s="213" t="s">
        <v>321</v>
      </c>
      <c r="B5" s="233" t="s">
        <v>489</v>
      </c>
    </row>
    <row r="6" spans="1:6" s="212" customFormat="1" ht="50.1" customHeight="1" thickBot="1" x14ac:dyDescent="0.25">
      <c r="A6" s="213" t="s">
        <v>322</v>
      </c>
      <c r="B6" s="233" t="s">
        <v>488</v>
      </c>
    </row>
    <row r="7" spans="1:6" s="212" customFormat="1" ht="50.1" customHeight="1" thickBot="1" x14ac:dyDescent="0.25">
      <c r="A7" s="213" t="s">
        <v>323</v>
      </c>
      <c r="B7" s="233" t="s">
        <v>490</v>
      </c>
    </row>
    <row r="8" spans="1:6" ht="50.1" customHeight="1" thickBot="1" x14ac:dyDescent="0.25">
      <c r="A8" s="412" t="s">
        <v>171</v>
      </c>
      <c r="B8" s="413"/>
    </row>
    <row r="9" spans="1:6" s="212" customFormat="1" ht="50.1" customHeight="1" thickBot="1" x14ac:dyDescent="0.25">
      <c r="A9" s="213" t="s">
        <v>168</v>
      </c>
      <c r="B9" s="234" t="s">
        <v>507</v>
      </c>
      <c r="C9" s="238"/>
      <c r="D9" s="238"/>
      <c r="E9" s="238"/>
      <c r="F9" s="238"/>
    </row>
    <row r="10" spans="1:6" s="212" customFormat="1" ht="64.5" customHeight="1" thickBot="1" x14ac:dyDescent="0.25">
      <c r="A10" s="213" t="s">
        <v>169</v>
      </c>
      <c r="B10" s="234" t="s">
        <v>599</v>
      </c>
    </row>
  </sheetData>
  <sheetProtection algorithmName="SHA-512" hashValue="ofHeWmh8dktWRhNJtzzq4t+4/DrzqR1B/xsY0uUZHw52v65Z8jQ7mo89mKFavQgkDWSSbf/lQHSMnIo2dbOwUg==" saltValue="b24vUp1oU20Bnxek0sf45w==" spinCount="100000" sheet="1"/>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9"/>
  <sheetViews>
    <sheetView workbookViewId="0"/>
  </sheetViews>
  <sheetFormatPr defaultRowHeight="12.75" x14ac:dyDescent="0.2"/>
  <cols>
    <col min="1" max="1" width="16.375" style="61" customWidth="1"/>
    <col min="2" max="2" width="15.75" customWidth="1"/>
    <col min="3" max="3" width="56.875" customWidth="1"/>
    <col min="4" max="4" width="26.25" style="1" customWidth="1"/>
  </cols>
  <sheetData>
    <row r="1" spans="1:4" ht="29.25" customHeight="1" x14ac:dyDescent="0.2">
      <c r="A1" s="681" t="s">
        <v>48</v>
      </c>
      <c r="B1" s="680" t="s">
        <v>49</v>
      </c>
      <c r="C1" s="679" t="s">
        <v>50</v>
      </c>
      <c r="D1" s="986" t="s">
        <v>51</v>
      </c>
    </row>
    <row r="2" spans="1:4" ht="43.5" customHeight="1" x14ac:dyDescent="0.2">
      <c r="A2" s="62" t="s">
        <v>54</v>
      </c>
      <c r="B2" s="58">
        <v>1</v>
      </c>
      <c r="C2" s="60" t="s">
        <v>55</v>
      </c>
      <c r="D2" s="985" t="s">
        <v>52</v>
      </c>
    </row>
    <row r="3" spans="1:4" ht="43.5" customHeight="1" x14ac:dyDescent="0.2">
      <c r="A3" s="62" t="s">
        <v>53</v>
      </c>
      <c r="B3" s="58">
        <v>2.1</v>
      </c>
      <c r="C3" s="60" t="s">
        <v>170</v>
      </c>
      <c r="D3" s="985" t="s">
        <v>52</v>
      </c>
    </row>
    <row r="4" spans="1:4" ht="51" x14ac:dyDescent="0.2">
      <c r="A4" s="62" t="s">
        <v>472</v>
      </c>
      <c r="B4" s="59">
        <v>2.2000000000000002</v>
      </c>
      <c r="C4" s="60" t="s">
        <v>473</v>
      </c>
      <c r="D4" s="134" t="s">
        <v>377</v>
      </c>
    </row>
    <row r="5" spans="1:4" ht="38.25" x14ac:dyDescent="0.2">
      <c r="A5" s="1002" t="s">
        <v>568</v>
      </c>
      <c r="B5" s="1007" t="s">
        <v>580</v>
      </c>
      <c r="C5" s="1003" t="s">
        <v>569</v>
      </c>
      <c r="D5" s="134" t="s">
        <v>377</v>
      </c>
    </row>
    <row r="7" spans="1:4" x14ac:dyDescent="0.2">
      <c r="C7" s="1"/>
    </row>
    <row r="8" spans="1:4" x14ac:dyDescent="0.2">
      <c r="C8" s="1"/>
    </row>
    <row r="9" spans="1:4" x14ac:dyDescent="0.2">
      <c r="C9" s="1"/>
    </row>
    <row r="10" spans="1:4" x14ac:dyDescent="0.2">
      <c r="C10" s="1"/>
    </row>
    <row r="11" spans="1:4" x14ac:dyDescent="0.2">
      <c r="C11" s="1"/>
    </row>
    <row r="12" spans="1:4" x14ac:dyDescent="0.2">
      <c r="C12" s="1"/>
    </row>
    <row r="13" spans="1:4" x14ac:dyDescent="0.2">
      <c r="C13" s="1"/>
    </row>
    <row r="14" spans="1:4" x14ac:dyDescent="0.2">
      <c r="C14" s="1"/>
    </row>
    <row r="15" spans="1:4" x14ac:dyDescent="0.2">
      <c r="C15" s="1"/>
    </row>
    <row r="16" spans="1:4" x14ac:dyDescent="0.2">
      <c r="C16" s="1"/>
    </row>
    <row r="17" spans="3:3" x14ac:dyDescent="0.2">
      <c r="C17" s="1"/>
    </row>
    <row r="18" spans="3:3" x14ac:dyDescent="0.2">
      <c r="C18" s="1"/>
    </row>
    <row r="19" spans="3:3" x14ac:dyDescent="0.2">
      <c r="C19" s="1"/>
    </row>
  </sheetData>
  <sheetProtection algorithmName="SHA-512" hashValue="0qz3+f1cKpy8GmTpJYDeS8JHqFk9p+ViYYWJqARTZktU1HuK2Zu8tcfikQkcudv36RGCAVoMXqxmpVYepoLFdg==" saltValue="340QcRXBuYjjmXkyO1y58A==" spinCount="100000" sheet="1" objects="1" scenarios="1"/>
  <pageMargins left="0.7" right="0.7" top="0.75" bottom="0.75" header="0.3" footer="0.3"/>
  <pageSetup paperSize="9" orientation="portrait" horizontalDpi="90" verticalDpi="9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65"/>
  <sheetViews>
    <sheetView zoomScale="85" zoomScaleNormal="85" workbookViewId="0"/>
  </sheetViews>
  <sheetFormatPr defaultColWidth="9" defaultRowHeight="12.75" x14ac:dyDescent="0.2"/>
  <cols>
    <col min="1" max="1" width="50.125" style="6" customWidth="1"/>
    <col min="2" max="2" width="27.875" style="6" customWidth="1"/>
    <col min="3" max="3" width="25.125" style="6" customWidth="1"/>
    <col min="4" max="4" width="20.375" style="6" customWidth="1"/>
    <col min="5" max="5" width="19.25" style="14" customWidth="1"/>
    <col min="6" max="6" width="21.75" style="270" customWidth="1"/>
    <col min="7" max="7" width="18" style="6" hidden="1" customWidth="1"/>
    <col min="8" max="8" width="16.5" style="6" hidden="1" customWidth="1"/>
    <col min="9" max="9" width="19" style="769" hidden="1" customWidth="1"/>
    <col min="10" max="10" width="16.625" style="6" hidden="1" customWidth="1"/>
    <col min="11" max="11" width="19.75" style="6" hidden="1" customWidth="1"/>
    <col min="12" max="12" width="18.25" style="6" hidden="1" customWidth="1"/>
    <col min="13" max="13" width="16.625" style="6" hidden="1" customWidth="1"/>
    <col min="14" max="18" width="20.625" style="6" hidden="1" customWidth="1"/>
    <col min="19" max="19" width="17" style="6" hidden="1" customWidth="1"/>
    <col min="20" max="20" width="17.125" style="6" hidden="1" customWidth="1"/>
    <col min="21" max="21" width="17.25" style="6" hidden="1" customWidth="1"/>
    <col min="22" max="22" width="15.75" style="6" hidden="1" customWidth="1"/>
    <col min="23" max="23" width="15.625" style="6" hidden="1" customWidth="1"/>
    <col min="24" max="24" width="15.125" style="6" hidden="1" customWidth="1"/>
    <col min="25" max="25" width="13.5" style="6" hidden="1" customWidth="1"/>
    <col min="26" max="26" width="10.625" style="6" hidden="1" customWidth="1"/>
    <col min="27" max="27" width="10.125" style="145" hidden="1" customWidth="1"/>
    <col min="28" max="28" width="9" style="6" customWidth="1"/>
    <col min="29" max="16384" width="9" style="6"/>
  </cols>
  <sheetData>
    <row r="1" spans="1:27" ht="18" x14ac:dyDescent="0.25">
      <c r="A1" s="428" t="s">
        <v>56</v>
      </c>
      <c r="C1" s="31"/>
      <c r="D1" s="766"/>
      <c r="E1" s="767"/>
      <c r="G1" s="768" t="s">
        <v>223</v>
      </c>
      <c r="H1" s="265"/>
    </row>
    <row r="2" spans="1:27" x14ac:dyDescent="0.2">
      <c r="C2" s="770"/>
      <c r="D2" s="766"/>
      <c r="E2" s="767"/>
      <c r="G2" s="771" t="s">
        <v>362</v>
      </c>
      <c r="H2" s="769"/>
      <c r="I2" s="6"/>
      <c r="Z2" s="145"/>
      <c r="AA2" s="6"/>
    </row>
    <row r="3" spans="1:27" ht="19.5" x14ac:dyDescent="0.25">
      <c r="A3" s="609" t="s">
        <v>108</v>
      </c>
      <c r="C3" s="478"/>
      <c r="D3" s="478"/>
      <c r="E3" s="767"/>
      <c r="G3" s="772" t="s">
        <v>275</v>
      </c>
      <c r="H3" s="769"/>
      <c r="I3" s="6"/>
      <c r="Z3" s="145"/>
      <c r="AA3" s="6"/>
    </row>
    <row r="4" spans="1:27" s="8" customFormat="1" ht="20.100000000000001" customHeight="1" x14ac:dyDescent="0.2">
      <c r="A4" s="443" t="s">
        <v>109</v>
      </c>
      <c r="B4" s="136" t="s">
        <v>504</v>
      </c>
      <c r="C4" s="429"/>
      <c r="D4" s="773"/>
      <c r="E4" s="773"/>
      <c r="F4" s="666"/>
      <c r="G4" s="774" t="s">
        <v>276</v>
      </c>
      <c r="Z4" s="775"/>
    </row>
    <row r="5" spans="1:27" s="8" customFormat="1" ht="20.100000000000001" customHeight="1" x14ac:dyDescent="0.2">
      <c r="A5" s="443" t="s">
        <v>110</v>
      </c>
      <c r="B5" s="686">
        <v>104000000000000</v>
      </c>
      <c r="C5" s="451"/>
      <c r="D5" s="776"/>
      <c r="E5" s="776"/>
      <c r="F5" s="777"/>
      <c r="AA5" s="775"/>
    </row>
    <row r="6" spans="1:27" s="8" customFormat="1" ht="20.100000000000001" customHeight="1" x14ac:dyDescent="0.2">
      <c r="A6" s="443" t="s">
        <v>104</v>
      </c>
      <c r="B6" s="136" t="s">
        <v>478</v>
      </c>
      <c r="C6" s="1034" t="s">
        <v>609</v>
      </c>
      <c r="D6" s="778"/>
      <c r="E6" s="778"/>
      <c r="F6" s="777"/>
      <c r="AA6" s="775"/>
    </row>
    <row r="7" spans="1:27" s="8" customFormat="1" ht="30" customHeight="1" x14ac:dyDescent="0.2">
      <c r="A7" s="1032" t="s">
        <v>607</v>
      </c>
      <c r="B7" s="137" t="s">
        <v>612</v>
      </c>
      <c r="C7" s="697"/>
      <c r="E7" s="664"/>
      <c r="F7" s="666"/>
      <c r="G7" s="793"/>
      <c r="H7" s="794"/>
      <c r="I7" s="795"/>
      <c r="J7" s="777"/>
      <c r="K7" s="796"/>
      <c r="AA7" s="775"/>
    </row>
    <row r="8" spans="1:27" s="8" customFormat="1" ht="28.5" customHeight="1" x14ac:dyDescent="0.2">
      <c r="A8" s="1032" t="s">
        <v>608</v>
      </c>
      <c r="B8" s="137" t="s">
        <v>601</v>
      </c>
      <c r="C8" s="697"/>
      <c r="D8" s="480"/>
      <c r="E8" s="778"/>
      <c r="F8" s="666"/>
      <c r="G8" s="797"/>
      <c r="AA8" s="775"/>
    </row>
    <row r="9" spans="1:27" s="8" customFormat="1" ht="20.100000000000001" customHeight="1" x14ac:dyDescent="0.2">
      <c r="A9" s="443" t="s">
        <v>268</v>
      </c>
      <c r="B9" s="933">
        <v>0</v>
      </c>
      <c r="D9" s="778"/>
      <c r="E9" s="778"/>
      <c r="F9" s="777"/>
      <c r="AA9" s="775"/>
    </row>
    <row r="10" spans="1:27" s="8" customFormat="1" ht="26.25" customHeight="1" x14ac:dyDescent="0.2">
      <c r="A10" s="779" t="s">
        <v>314</v>
      </c>
      <c r="B10" s="780">
        <f>B9/90*100</f>
        <v>0</v>
      </c>
      <c r="C10" s="429"/>
      <c r="D10" s="778"/>
      <c r="E10" s="778"/>
      <c r="F10" s="777"/>
      <c r="G10" s="781" t="s">
        <v>284</v>
      </c>
      <c r="H10" s="782"/>
      <c r="I10" s="783"/>
      <c r="J10" s="784"/>
      <c r="K10" s="785"/>
      <c r="L10" s="785"/>
      <c r="AA10" s="775"/>
    </row>
    <row r="11" spans="1:27" s="8" customFormat="1" ht="20.100000000000001" customHeight="1" x14ac:dyDescent="0.2">
      <c r="A11" s="443" t="s">
        <v>179</v>
      </c>
      <c r="B11" s="686">
        <v>2022</v>
      </c>
      <c r="C11" s="786"/>
      <c r="D11" s="787"/>
      <c r="E11" s="787"/>
      <c r="F11" s="788"/>
      <c r="AA11" s="775"/>
    </row>
    <row r="12" spans="1:27" s="8" customFormat="1" ht="20.100000000000001" customHeight="1" x14ac:dyDescent="0.2">
      <c r="A12" s="443" t="s">
        <v>145</v>
      </c>
      <c r="B12" s="136">
        <v>100</v>
      </c>
      <c r="D12" s="778"/>
      <c r="E12" s="778"/>
      <c r="F12" s="777"/>
      <c r="AA12" s="775"/>
    </row>
    <row r="13" spans="1:27" s="8" customFormat="1" ht="20.100000000000001" customHeight="1" x14ac:dyDescent="0.2">
      <c r="A13" s="443" t="s">
        <v>508</v>
      </c>
      <c r="B13" s="687">
        <v>44887</v>
      </c>
      <c r="C13" s="789"/>
      <c r="D13" s="790"/>
      <c r="E13" s="790"/>
      <c r="F13" s="788"/>
      <c r="AA13" s="775"/>
    </row>
    <row r="14" spans="1:27" s="8" customFormat="1" ht="20.100000000000001" customHeight="1" x14ac:dyDescent="0.2">
      <c r="A14" s="443" t="s">
        <v>178</v>
      </c>
      <c r="B14" s="136" t="s">
        <v>503</v>
      </c>
      <c r="C14" s="791"/>
      <c r="D14" s="792"/>
      <c r="E14" s="792"/>
      <c r="F14" s="788"/>
      <c r="AA14" s="775"/>
    </row>
    <row r="15" spans="1:27" s="8" customFormat="1" ht="26.25" customHeight="1" x14ac:dyDescent="0.2">
      <c r="A15" s="1032" t="s">
        <v>606</v>
      </c>
      <c r="B15" s="136" t="s">
        <v>600</v>
      </c>
      <c r="C15" s="955"/>
      <c r="D15" s="480"/>
      <c r="E15" s="778"/>
      <c r="F15" s="666"/>
      <c r="G15" s="797"/>
      <c r="AA15" s="775"/>
    </row>
    <row r="16" spans="1:27" s="8" customFormat="1" ht="20.100000000000001" customHeight="1" x14ac:dyDescent="0.2">
      <c r="A16" s="443" t="s">
        <v>509</v>
      </c>
      <c r="B16" s="136" t="s">
        <v>563</v>
      </c>
      <c r="C16" s="793"/>
      <c r="D16" s="480"/>
      <c r="E16" s="778"/>
      <c r="F16" s="666"/>
      <c r="G16" s="797"/>
      <c r="AA16" s="775"/>
    </row>
    <row r="17" spans="1:27" s="480" customFormat="1" ht="25.5" customHeight="1" x14ac:dyDescent="0.2">
      <c r="A17" s="779" t="s">
        <v>510</v>
      </c>
      <c r="B17" s="1027" t="s">
        <v>478</v>
      </c>
      <c r="C17" s="1028"/>
      <c r="E17" s="778"/>
      <c r="F17" s="642"/>
      <c r="G17" s="951"/>
      <c r="AA17" s="1029"/>
    </row>
    <row r="18" spans="1:27" s="8" customFormat="1" x14ac:dyDescent="0.2">
      <c r="A18" s="729"/>
      <c r="D18" s="480"/>
      <c r="E18" s="778"/>
      <c r="F18" s="666"/>
      <c r="G18" s="797"/>
      <c r="AA18" s="775"/>
    </row>
    <row r="19" spans="1:27" s="8" customFormat="1" ht="19.5" x14ac:dyDescent="0.2">
      <c r="A19" s="798" t="s">
        <v>391</v>
      </c>
      <c r="D19" s="480"/>
      <c r="E19" s="778"/>
      <c r="F19" s="666"/>
      <c r="G19" s="797"/>
      <c r="AA19" s="775"/>
    </row>
    <row r="20" spans="1:27" s="8" customFormat="1" ht="38.25" x14ac:dyDescent="0.2">
      <c r="A20" s="617"/>
      <c r="B20" s="618" t="s">
        <v>277</v>
      </c>
      <c r="D20" s="480"/>
      <c r="E20" s="778"/>
      <c r="F20" s="666"/>
      <c r="G20" s="799" t="s">
        <v>393</v>
      </c>
      <c r="H20" s="799" t="s">
        <v>394</v>
      </c>
      <c r="AA20" s="775"/>
    </row>
    <row r="21" spans="1:27" s="8" customFormat="1" ht="20.100000000000001" customHeight="1" x14ac:dyDescent="0.2">
      <c r="A21" s="443" t="s">
        <v>392</v>
      </c>
      <c r="B21" s="136" t="s">
        <v>478</v>
      </c>
      <c r="C21" s="800"/>
      <c r="D21" s="480"/>
      <c r="E21" s="778"/>
      <c r="F21" s="666"/>
      <c r="G21" s="801">
        <f>IF(B21="Yes",IF(B9&lt;=10,1500,150*B9),0)</f>
        <v>0</v>
      </c>
      <c r="H21" s="802">
        <f>IF(G21&gt;30000,30000,G21)</f>
        <v>0</v>
      </c>
      <c r="AA21" s="775"/>
    </row>
    <row r="22" spans="1:27" s="8" customFormat="1" x14ac:dyDescent="0.2">
      <c r="A22" s="729"/>
      <c r="C22" s="797"/>
      <c r="D22" s="480"/>
      <c r="E22" s="778"/>
      <c r="F22" s="666"/>
      <c r="G22" s="797"/>
      <c r="AA22" s="775"/>
    </row>
    <row r="23" spans="1:27" s="8" customFormat="1" ht="19.5" x14ac:dyDescent="0.2">
      <c r="A23" s="798" t="s">
        <v>119</v>
      </c>
      <c r="C23" s="797"/>
      <c r="D23" s="480"/>
      <c r="E23" s="778"/>
      <c r="F23" s="666"/>
      <c r="G23" s="797"/>
      <c r="AA23" s="775"/>
    </row>
    <row r="24" spans="1:27" s="797" customFormat="1" ht="20.25" customHeight="1" x14ac:dyDescent="0.2">
      <c r="A24" s="729" t="s">
        <v>496</v>
      </c>
      <c r="D24" s="951"/>
      <c r="E24" s="776"/>
      <c r="F24" s="952"/>
      <c r="AA24" s="953"/>
    </row>
    <row r="25" spans="1:27" s="8" customFormat="1" ht="27" customHeight="1" x14ac:dyDescent="0.2">
      <c r="A25" s="803" t="s">
        <v>278</v>
      </c>
      <c r="B25" s="830" t="s">
        <v>155</v>
      </c>
      <c r="C25" s="804" t="s">
        <v>513</v>
      </c>
      <c r="D25" s="805" t="s">
        <v>480</v>
      </c>
      <c r="E25" s="806"/>
      <c r="F25" s="807"/>
      <c r="G25" s="808" t="s">
        <v>280</v>
      </c>
      <c r="H25" s="808" t="s">
        <v>271</v>
      </c>
      <c r="J25" s="797"/>
      <c r="AA25" s="775"/>
    </row>
    <row r="26" spans="1:27" s="8" customFormat="1" ht="20.100000000000001" customHeight="1" x14ac:dyDescent="0.2">
      <c r="A26" s="443" t="s">
        <v>125</v>
      </c>
      <c r="B26" s="934">
        <v>0</v>
      </c>
      <c r="C26" s="809" t="s">
        <v>511</v>
      </c>
      <c r="D26" s="810"/>
      <c r="E26" s="451"/>
      <c r="F26" s="666"/>
      <c r="G26" s="811">
        <f>B26*'Cost Data'!C27</f>
        <v>0</v>
      </c>
      <c r="H26" s="812">
        <f>B26*'Cost Data'!$C$39</f>
        <v>0</v>
      </c>
      <c r="J26" s="797"/>
      <c r="AA26" s="775"/>
    </row>
    <row r="27" spans="1:27" s="8" customFormat="1" ht="20.100000000000001" customHeight="1" x14ac:dyDescent="0.2">
      <c r="A27" s="813" t="s">
        <v>124</v>
      </c>
      <c r="B27" s="935">
        <v>0</v>
      </c>
      <c r="C27" s="809" t="s">
        <v>511</v>
      </c>
      <c r="D27" s="810"/>
      <c r="E27" s="451"/>
      <c r="F27" s="666"/>
      <c r="G27" s="814">
        <f>IF(B27&lt;=1585,'Cost Data'!C28*B27,'Cost Data'!C28*1585+(B27-1585)*'Cost Data'!C29)</f>
        <v>0</v>
      </c>
      <c r="H27" s="812">
        <f>B27*'Cost Data'!$C$39</f>
        <v>0</v>
      </c>
      <c r="I27" s="697"/>
      <c r="J27" s="793"/>
      <c r="K27" s="697"/>
      <c r="L27" s="697"/>
      <c r="M27" s="697"/>
      <c r="N27" s="697"/>
      <c r="AA27" s="775"/>
    </row>
    <row r="28" spans="1:27" s="8" customFormat="1" ht="20.100000000000001" customHeight="1" thickBot="1" x14ac:dyDescent="0.25">
      <c r="A28" s="815" t="s">
        <v>398</v>
      </c>
      <c r="B28" s="936">
        <v>0</v>
      </c>
      <c r="C28" s="809" t="s">
        <v>511</v>
      </c>
      <c r="D28" s="810"/>
      <c r="E28" s="451"/>
      <c r="F28" s="666"/>
      <c r="G28" s="811">
        <f>B28*'Cost Data'!C33</f>
        <v>0</v>
      </c>
      <c r="H28" s="812">
        <f>B28*'Cost Data'!C39</f>
        <v>0</v>
      </c>
      <c r="J28" s="797"/>
      <c r="AA28" s="775"/>
    </row>
    <row r="29" spans="1:27" s="8" customFormat="1" ht="20.100000000000001" customHeight="1" thickTop="1" x14ac:dyDescent="0.2">
      <c r="A29" s="816" t="s">
        <v>212</v>
      </c>
      <c r="B29" s="817">
        <f>SUM(B26:B28)</f>
        <v>0</v>
      </c>
      <c r="C29" s="818">
        <f>2*PI()*((4*10000*B9/PI())^0.5)</f>
        <v>0</v>
      </c>
      <c r="D29" s="987" t="s">
        <v>566</v>
      </c>
      <c r="E29" s="819"/>
      <c r="F29" s="820"/>
      <c r="G29" s="808" t="s">
        <v>280</v>
      </c>
      <c r="H29" s="821" t="s">
        <v>442</v>
      </c>
      <c r="I29" s="797"/>
      <c r="J29" s="797"/>
      <c r="AA29" s="775"/>
    </row>
    <row r="30" spans="1:27" s="8" customFormat="1" ht="20.100000000000001" customHeight="1" x14ac:dyDescent="0.2">
      <c r="A30" s="443" t="s">
        <v>149</v>
      </c>
      <c r="B30" s="934">
        <v>0</v>
      </c>
      <c r="C30" s="822">
        <f>C29</f>
        <v>0</v>
      </c>
      <c r="D30" s="823" t="s">
        <v>512</v>
      </c>
      <c r="E30" s="824"/>
      <c r="F30" s="825"/>
      <c r="G30" s="811">
        <f>B30*'Cost Data'!C30</f>
        <v>0</v>
      </c>
      <c r="H30" s="826"/>
      <c r="J30" s="797"/>
      <c r="AA30" s="775"/>
    </row>
    <row r="31" spans="1:27" s="8" customFormat="1" ht="20.100000000000001" customHeight="1" x14ac:dyDescent="0.2">
      <c r="A31" s="443" t="s">
        <v>131</v>
      </c>
      <c r="B31" s="934">
        <v>0</v>
      </c>
      <c r="C31" s="827">
        <f>IF(B32&lt;=C32,40*B9-B32,0)</f>
        <v>0</v>
      </c>
      <c r="D31" s="823" t="s">
        <v>383</v>
      </c>
      <c r="E31" s="824"/>
      <c r="F31" s="825"/>
      <c r="G31" s="811">
        <f>'Cost Data'!C35*B31</f>
        <v>0</v>
      </c>
      <c r="H31" s="812">
        <f>B31*'Cost Data'!C41</f>
        <v>0</v>
      </c>
      <c r="I31" s="797"/>
      <c r="J31" s="797"/>
      <c r="AA31" s="775"/>
    </row>
    <row r="32" spans="1:27" s="8" customFormat="1" ht="20.100000000000001" customHeight="1" x14ac:dyDescent="0.2">
      <c r="A32" s="443" t="s">
        <v>132</v>
      </c>
      <c r="B32" s="934">
        <v>0</v>
      </c>
      <c r="C32" s="827">
        <f>20*B9</f>
        <v>0</v>
      </c>
      <c r="D32" s="676" t="s">
        <v>384</v>
      </c>
      <c r="E32" s="828"/>
      <c r="F32" s="829"/>
      <c r="G32" s="811">
        <f>B32*'Cost Data'!C34</f>
        <v>0</v>
      </c>
      <c r="H32" s="812">
        <f>B32*'Cost Data'!C40</f>
        <v>0</v>
      </c>
      <c r="I32" s="451" t="s">
        <v>419</v>
      </c>
      <c r="J32" s="797"/>
      <c r="K32" s="688" t="s">
        <v>421</v>
      </c>
      <c r="AA32" s="775"/>
    </row>
    <row r="33" spans="1:27" s="8" customFormat="1" ht="20.100000000000001" customHeight="1" x14ac:dyDescent="0.2">
      <c r="A33" s="803" t="s">
        <v>313</v>
      </c>
      <c r="B33" s="830" t="s">
        <v>312</v>
      </c>
      <c r="C33" s="831" t="s">
        <v>479</v>
      </c>
      <c r="D33" s="832" t="s">
        <v>480</v>
      </c>
      <c r="E33" s="833"/>
      <c r="F33" s="834"/>
      <c r="G33" s="835" t="s">
        <v>441</v>
      </c>
      <c r="H33" s="821" t="s">
        <v>442</v>
      </c>
      <c r="I33" s="836" t="s">
        <v>420</v>
      </c>
      <c r="J33" s="797"/>
      <c r="AA33" s="775"/>
    </row>
    <row r="34" spans="1:27" s="8" customFormat="1" ht="20.100000000000001" customHeight="1" x14ac:dyDescent="0.2">
      <c r="A34" s="443" t="str">
        <f>'Cost Data'!B31</f>
        <v xml:space="preserve">Vehicle access gate </v>
      </c>
      <c r="B34" s="934">
        <v>0</v>
      </c>
      <c r="C34" s="954">
        <f>ROUNDDOWN(B29/100,0)</f>
        <v>0</v>
      </c>
      <c r="D34" s="676" t="s">
        <v>443</v>
      </c>
      <c r="E34" s="837"/>
      <c r="F34" s="829"/>
      <c r="G34" s="811">
        <f>B34*'Cost Data'!C31</f>
        <v>0</v>
      </c>
      <c r="H34" s="826"/>
      <c r="J34" s="797"/>
      <c r="AA34" s="775"/>
    </row>
    <row r="35" spans="1:27" s="8" customFormat="1" ht="20.100000000000001" customHeight="1" x14ac:dyDescent="0.2">
      <c r="A35" s="443" t="str">
        <f>'Cost Data'!B32</f>
        <v>Pedestrian gate</v>
      </c>
      <c r="B35" s="934">
        <v>0</v>
      </c>
      <c r="C35" s="688"/>
      <c r="D35" s="838"/>
      <c r="E35" s="451"/>
      <c r="F35" s="666"/>
      <c r="G35" s="811">
        <f>B35*'Cost Data'!C32</f>
        <v>0</v>
      </c>
      <c r="H35" s="826"/>
      <c r="J35" s="797"/>
      <c r="AA35" s="775"/>
    </row>
    <row r="36" spans="1:27" s="8" customFormat="1" ht="20.100000000000001" customHeight="1" x14ac:dyDescent="0.2">
      <c r="A36" s="803" t="s">
        <v>436</v>
      </c>
      <c r="B36" s="803"/>
      <c r="C36" s="830" t="s">
        <v>224</v>
      </c>
      <c r="D36" s="761"/>
      <c r="E36" s="451"/>
      <c r="F36" s="666"/>
      <c r="G36" s="839" t="s">
        <v>441</v>
      </c>
      <c r="H36" s="840"/>
      <c r="J36" s="797"/>
      <c r="AA36" s="775"/>
    </row>
    <row r="37" spans="1:27" s="8" customFormat="1" ht="20.100000000000001" customHeight="1" thickBot="1" x14ac:dyDescent="0.25">
      <c r="A37" s="443" t="s">
        <v>514</v>
      </c>
      <c r="B37" s="136" t="s">
        <v>478</v>
      </c>
      <c r="C37" s="1040">
        <v>0</v>
      </c>
      <c r="D37" s="429" t="s">
        <v>564</v>
      </c>
      <c r="E37" s="451"/>
      <c r="F37" s="841"/>
      <c r="G37" s="842">
        <f>IF(B37="Yes",C37*'Cost Data'!C24,0)</f>
        <v>0</v>
      </c>
      <c r="AA37" s="775"/>
    </row>
    <row r="38" spans="1:27" s="8" customFormat="1" ht="15" customHeight="1" thickBot="1" x14ac:dyDescent="0.25">
      <c r="A38" s="843"/>
      <c r="B38" s="451"/>
      <c r="C38" s="1042"/>
      <c r="D38" s="1041" t="s">
        <v>610</v>
      </c>
      <c r="E38" s="451"/>
      <c r="F38" s="777"/>
      <c r="G38" s="480"/>
      <c r="I38" s="797"/>
      <c r="J38" s="797"/>
      <c r="AA38" s="775"/>
    </row>
    <row r="39" spans="1:27" s="8" customFormat="1" ht="15" customHeight="1" x14ac:dyDescent="0.2">
      <c r="A39" s="844" t="s">
        <v>354</v>
      </c>
      <c r="B39" s="429"/>
      <c r="C39" s="451"/>
      <c r="D39" s="451"/>
      <c r="E39" s="451"/>
      <c r="F39" s="777"/>
      <c r="G39" s="480"/>
      <c r="I39" s="797"/>
      <c r="J39" s="797"/>
      <c r="AA39" s="775"/>
    </row>
    <row r="40" spans="1:27" s="8" customFormat="1" ht="20.100000000000001" customHeight="1" x14ac:dyDescent="0.2">
      <c r="A40" s="166"/>
      <c r="B40" s="170" t="s">
        <v>224</v>
      </c>
      <c r="C40" s="429"/>
      <c r="D40" s="451"/>
      <c r="E40" s="451"/>
      <c r="F40" s="777"/>
      <c r="G40" s="845" t="s">
        <v>355</v>
      </c>
      <c r="I40" s="797"/>
      <c r="J40" s="797"/>
      <c r="AA40" s="775"/>
    </row>
    <row r="41" spans="1:27" s="8" customFormat="1" ht="20.100000000000001" customHeight="1" x14ac:dyDescent="0.2">
      <c r="A41" s="850" t="s">
        <v>267</v>
      </c>
      <c r="B41" s="171">
        <v>0</v>
      </c>
      <c r="C41" s="429"/>
      <c r="D41" s="451"/>
      <c r="E41" s="451"/>
      <c r="F41" s="777"/>
      <c r="G41" s="845"/>
      <c r="I41" s="797"/>
      <c r="J41" s="797"/>
      <c r="AA41" s="775"/>
    </row>
    <row r="42" spans="1:27" s="8" customFormat="1" ht="20.100000000000001" customHeight="1" x14ac:dyDescent="0.2">
      <c r="A42" s="850" t="str">
        <f>'Cost Data'!B4</f>
        <v>Scrub Control &lt; 7cm dbh</v>
      </c>
      <c r="B42" s="171">
        <v>0</v>
      </c>
      <c r="C42" s="429"/>
      <c r="D42" s="451"/>
      <c r="E42" s="451"/>
      <c r="F42" s="777"/>
      <c r="G42" s="846">
        <f>B42*'Cost Data'!C4</f>
        <v>0</v>
      </c>
      <c r="I42" s="797"/>
      <c r="J42" s="797"/>
      <c r="AA42" s="775"/>
    </row>
    <row r="43" spans="1:27" s="8" customFormat="1" ht="20.100000000000001" customHeight="1" x14ac:dyDescent="0.2">
      <c r="A43" s="850" t="str">
        <f>'Cost Data'!B5</f>
        <v>Bracken Control</v>
      </c>
      <c r="B43" s="171">
        <v>0</v>
      </c>
      <c r="C43" s="429"/>
      <c r="D43" s="451"/>
      <c r="E43" s="451"/>
      <c r="F43" s="777"/>
      <c r="G43" s="846">
        <f>B43*'Cost Data'!C5</f>
        <v>0</v>
      </c>
      <c r="I43" s="797"/>
      <c r="J43" s="797"/>
      <c r="AA43" s="775"/>
    </row>
    <row r="44" spans="1:27" s="8" customFormat="1" ht="20.100000000000001" customHeight="1" thickBot="1" x14ac:dyDescent="0.25">
      <c r="A44" s="853" t="str">
        <f>'Cost Data'!B6</f>
        <v>Gorse Removal</v>
      </c>
      <c r="B44" s="306">
        <v>0</v>
      </c>
      <c r="C44" s="429"/>
      <c r="D44" s="451"/>
      <c r="E44" s="451"/>
      <c r="F44" s="777"/>
      <c r="G44" s="846">
        <f>B44*'Cost Data'!C6</f>
        <v>0</v>
      </c>
      <c r="I44" s="797"/>
      <c r="J44" s="797"/>
      <c r="AA44" s="775"/>
    </row>
    <row r="45" spans="1:27" s="8" customFormat="1" ht="20.100000000000001" customHeight="1" thickTop="1" thickBot="1" x14ac:dyDescent="0.25">
      <c r="A45" s="311" t="s">
        <v>12</v>
      </c>
      <c r="B45" s="309">
        <f>SUM(B41:B44)</f>
        <v>0</v>
      </c>
      <c r="C45" s="1005" t="s">
        <v>575</v>
      </c>
      <c r="D45" s="451"/>
      <c r="E45" s="451"/>
      <c r="F45" s="777"/>
      <c r="G45" s="847">
        <f>SUM(G42:G44)</f>
        <v>0</v>
      </c>
      <c r="I45" s="797"/>
      <c r="J45" s="797"/>
      <c r="AA45" s="775"/>
    </row>
    <row r="46" spans="1:27" s="8" customFormat="1" ht="15" customHeight="1" thickTop="1" x14ac:dyDescent="0.2">
      <c r="A46" s="843"/>
      <c r="B46" s="451"/>
      <c r="C46" s="451"/>
      <c r="D46" s="451"/>
      <c r="E46" s="451"/>
      <c r="F46" s="777"/>
      <c r="G46" s="480"/>
      <c r="I46" s="797"/>
      <c r="J46" s="797"/>
      <c r="AA46" s="775"/>
    </row>
    <row r="47" spans="1:27" s="8" customFormat="1" ht="15.75" customHeight="1" x14ac:dyDescent="0.2">
      <c r="A47" s="844" t="s">
        <v>272</v>
      </c>
      <c r="B47" s="429"/>
      <c r="C47" s="697"/>
      <c r="D47" s="697"/>
      <c r="E47" s="451"/>
      <c r="F47" s="666"/>
      <c r="G47" s="808" t="s">
        <v>280</v>
      </c>
      <c r="H47" s="821" t="s">
        <v>442</v>
      </c>
      <c r="AA47" s="775"/>
    </row>
    <row r="48" spans="1:27" s="8" customFormat="1" ht="20.100000000000001" customHeight="1" x14ac:dyDescent="0.2">
      <c r="A48" s="166"/>
      <c r="B48" s="170" t="s">
        <v>224</v>
      </c>
      <c r="C48" s="169"/>
      <c r="D48" s="169"/>
      <c r="E48" s="451"/>
      <c r="F48" s="666"/>
      <c r="G48" s="848" t="s">
        <v>270</v>
      </c>
      <c r="H48" s="849"/>
      <c r="AA48" s="775"/>
    </row>
    <row r="49" spans="1:27" s="8" customFormat="1" ht="20.100000000000001" customHeight="1" x14ac:dyDescent="0.2">
      <c r="A49" s="850" t="s">
        <v>267</v>
      </c>
      <c r="B49" s="171">
        <v>0</v>
      </c>
      <c r="C49" s="851"/>
      <c r="D49" s="851"/>
      <c r="E49" s="451"/>
      <c r="F49" s="666"/>
      <c r="G49" s="812">
        <f>B49*'Cost Data'!C7</f>
        <v>0</v>
      </c>
      <c r="H49" s="852"/>
      <c r="AA49" s="775"/>
    </row>
    <row r="50" spans="1:27" s="8" customFormat="1" ht="20.100000000000001" customHeight="1" x14ac:dyDescent="0.2">
      <c r="A50" s="850" t="s">
        <v>225</v>
      </c>
      <c r="B50" s="171">
        <v>0</v>
      </c>
      <c r="C50" s="851"/>
      <c r="D50" s="851"/>
      <c r="E50" s="451"/>
      <c r="F50" s="666"/>
      <c r="G50" s="812">
        <f>B50*'Cost Data'!C8</f>
        <v>0</v>
      </c>
      <c r="H50" s="852"/>
      <c r="AA50" s="775"/>
    </row>
    <row r="51" spans="1:27" s="8" customFormat="1" ht="20.100000000000001" customHeight="1" x14ac:dyDescent="0.2">
      <c r="A51" s="850" t="s">
        <v>226</v>
      </c>
      <c r="B51" s="171">
        <v>0</v>
      </c>
      <c r="C51" s="851"/>
      <c r="D51" s="851"/>
      <c r="E51" s="451"/>
      <c r="F51" s="666"/>
      <c r="G51" s="812">
        <f>B51*'Cost Data'!C9</f>
        <v>0</v>
      </c>
      <c r="H51" s="852"/>
      <c r="AA51" s="775"/>
    </row>
    <row r="52" spans="1:27" s="8" customFormat="1" ht="20.100000000000001" customHeight="1" x14ac:dyDescent="0.2">
      <c r="A52" s="850" t="s">
        <v>227</v>
      </c>
      <c r="B52" s="171">
        <v>0</v>
      </c>
      <c r="C52" s="851"/>
      <c r="D52" s="851"/>
      <c r="E52" s="451"/>
      <c r="F52" s="666"/>
      <c r="G52" s="812">
        <f>B52*'Cost Data'!C10</f>
        <v>0</v>
      </c>
      <c r="H52" s="852"/>
      <c r="AA52" s="775"/>
    </row>
    <row r="53" spans="1:27" s="8" customFormat="1" ht="20.100000000000001" customHeight="1" thickBot="1" x14ac:dyDescent="0.25">
      <c r="A53" s="853" t="s">
        <v>228</v>
      </c>
      <c r="B53" s="306">
        <v>0</v>
      </c>
      <c r="C53" s="851"/>
      <c r="D53" s="851"/>
      <c r="E53" s="451"/>
      <c r="F53" s="666"/>
      <c r="G53" s="812">
        <f>B53*'Cost Data'!C11</f>
        <v>0</v>
      </c>
      <c r="H53" s="852"/>
      <c r="AA53" s="775"/>
    </row>
    <row r="54" spans="1:27" s="8" customFormat="1" ht="20.100000000000001" customHeight="1" thickTop="1" thickBot="1" x14ac:dyDescent="0.25">
      <c r="A54" s="308" t="s">
        <v>12</v>
      </c>
      <c r="B54" s="309">
        <f>SUM(B49:B53)</f>
        <v>0</v>
      </c>
      <c r="C54" s="403" t="s">
        <v>515</v>
      </c>
      <c r="D54" s="851"/>
      <c r="E54" s="451"/>
      <c r="F54" s="666"/>
      <c r="G54" s="854">
        <f>SUM(G49:G53)</f>
        <v>0</v>
      </c>
      <c r="H54" s="855"/>
      <c r="AA54" s="775"/>
    </row>
    <row r="55" spans="1:27" s="8" customFormat="1" ht="20.100000000000001" customHeight="1" thickTop="1" x14ac:dyDescent="0.2">
      <c r="A55" s="856" t="s">
        <v>229</v>
      </c>
      <c r="B55" s="307">
        <v>0</v>
      </c>
      <c r="C55" s="403" t="s">
        <v>516</v>
      </c>
      <c r="D55" s="305"/>
      <c r="E55" s="451"/>
      <c r="F55" s="666"/>
      <c r="G55" s="812">
        <f>B55*'Cost Data'!C12</f>
        <v>0</v>
      </c>
      <c r="H55" s="812">
        <f>B55*'Cost Data'!C38</f>
        <v>0</v>
      </c>
      <c r="I55" s="797"/>
      <c r="AA55" s="775"/>
    </row>
    <row r="56" spans="1:27" s="8" customFormat="1" x14ac:dyDescent="0.2">
      <c r="B56" s="429"/>
      <c r="C56" s="697"/>
      <c r="D56" s="793"/>
      <c r="E56" s="451"/>
      <c r="F56" s="777"/>
      <c r="AA56" s="775"/>
    </row>
    <row r="57" spans="1:27" s="8" customFormat="1" ht="34.5" customHeight="1" x14ac:dyDescent="0.2">
      <c r="A57" s="729" t="s">
        <v>499</v>
      </c>
      <c r="C57" s="697"/>
      <c r="D57" s="1051" t="s">
        <v>498</v>
      </c>
      <c r="E57" s="1052"/>
      <c r="F57" s="777"/>
      <c r="AA57" s="775"/>
    </row>
    <row r="58" spans="1:27" s="480" customFormat="1" ht="36.75" customHeight="1" x14ac:dyDescent="0.2">
      <c r="A58" s="622" t="s">
        <v>105</v>
      </c>
      <c r="B58" s="619" t="s">
        <v>180</v>
      </c>
      <c r="C58" s="619" t="s">
        <v>594</v>
      </c>
      <c r="D58" s="619" t="s">
        <v>186</v>
      </c>
      <c r="E58" s="857" t="s">
        <v>382</v>
      </c>
      <c r="F58" s="857" t="s">
        <v>517</v>
      </c>
      <c r="G58" s="858" t="s">
        <v>200</v>
      </c>
      <c r="H58" s="436" t="s">
        <v>175</v>
      </c>
      <c r="I58" s="617" t="s">
        <v>201</v>
      </c>
      <c r="J58" s="859" t="s">
        <v>199</v>
      </c>
      <c r="K58" s="860"/>
      <c r="L58" s="859" t="s">
        <v>181</v>
      </c>
      <c r="M58" s="859" t="s">
        <v>182</v>
      </c>
      <c r="N58" s="859" t="s">
        <v>183</v>
      </c>
      <c r="O58" s="859"/>
      <c r="P58" s="859" t="s">
        <v>193</v>
      </c>
      <c r="Q58" s="859" t="s">
        <v>283</v>
      </c>
      <c r="R58" s="859" t="s">
        <v>281</v>
      </c>
      <c r="S58" s="859" t="s">
        <v>282</v>
      </c>
      <c r="T58" s="859" t="s">
        <v>192</v>
      </c>
      <c r="U58" s="859" t="s">
        <v>185</v>
      </c>
      <c r="V58" s="859" t="s">
        <v>184</v>
      </c>
      <c r="W58" s="859" t="s">
        <v>187</v>
      </c>
      <c r="X58" s="859" t="s">
        <v>561</v>
      </c>
      <c r="Y58" s="861" t="s">
        <v>269</v>
      </c>
      <c r="Z58" s="862" t="s">
        <v>351</v>
      </c>
      <c r="AA58" s="863" t="s">
        <v>140</v>
      </c>
    </row>
    <row r="59" spans="1:27" s="8" customFormat="1" ht="20.100000000000001" customHeight="1" x14ac:dyDescent="0.2">
      <c r="A59" s="211" t="s">
        <v>518</v>
      </c>
      <c r="B59" s="933">
        <v>0</v>
      </c>
      <c r="C59" s="937">
        <v>2</v>
      </c>
      <c r="D59" s="136" t="s">
        <v>478</v>
      </c>
      <c r="E59" s="136" t="s">
        <v>478</v>
      </c>
      <c r="F59" s="136" t="s">
        <v>478</v>
      </c>
      <c r="G59" s="864">
        <f>B59*'Income Data'!E5</f>
        <v>0</v>
      </c>
      <c r="H59" s="865">
        <f>G59*'Income Data'!F5</f>
        <v>0</v>
      </c>
      <c r="I59" s="865" t="e">
        <f>H59/B59</f>
        <v>#DIV/0!</v>
      </c>
      <c r="J59" s="866">
        <f>IF(B12&gt;38,IF(B12&gt;76,(B12-76)/38*H59,(B12-38)/38*H59),0)</f>
        <v>0</v>
      </c>
      <c r="K59" s="843"/>
      <c r="L59" s="867">
        <f>B59*(100/C59)^2</f>
        <v>0</v>
      </c>
      <c r="M59" s="666">
        <f>L59*'Cost Data'!C13</f>
        <v>0</v>
      </c>
      <c r="N59" s="666">
        <f>L59*'Cost Data'!C16</f>
        <v>0</v>
      </c>
      <c r="O59" s="666"/>
      <c r="P59" s="666">
        <f>SUM(M59:N59)</f>
        <v>0</v>
      </c>
      <c r="Q59" s="666">
        <f>$B59*'Cost Data'!$C$25*3</f>
        <v>0</v>
      </c>
      <c r="R59" s="666">
        <f>$B59*'Cost Data'!$C$25*2</f>
        <v>0</v>
      </c>
      <c r="S59" s="666">
        <f>$B59*'Cost Data'!$C$25</f>
        <v>0</v>
      </c>
      <c r="T59" s="666">
        <f>0.15*P59</f>
        <v>0</v>
      </c>
      <c r="U59" s="666">
        <f>0.1*P59</f>
        <v>0</v>
      </c>
      <c r="V59" s="666">
        <f>0.05*P59</f>
        <v>0</v>
      </c>
      <c r="W59" s="666">
        <f>IF(D59="Yes",L59*'Cost Data'!C$20,0)</f>
        <v>0</v>
      </c>
      <c r="X59" s="666">
        <f>IF(D59="Yes",L59*'Cost Data'!C$21,0)</f>
        <v>0</v>
      </c>
      <c r="Y59" s="591">
        <f>B59*'Cost Data'!C10</f>
        <v>0</v>
      </c>
      <c r="Z59" s="666">
        <f>IF(E59="Yes",L59*'Cost Data'!C$22,0)</f>
        <v>0</v>
      </c>
      <c r="AA59" s="666">
        <f>IF(F59="Yes",L59*'Cost Data'!$C$19,0)</f>
        <v>0</v>
      </c>
    </row>
    <row r="60" spans="1:27" s="8" customFormat="1" ht="20.100000000000001" customHeight="1" x14ac:dyDescent="0.2">
      <c r="A60" s="868" t="s">
        <v>519</v>
      </c>
      <c r="B60" s="933">
        <v>0</v>
      </c>
      <c r="C60" s="937">
        <v>2</v>
      </c>
      <c r="D60" s="136" t="s">
        <v>478</v>
      </c>
      <c r="E60" s="136" t="s">
        <v>478</v>
      </c>
      <c r="F60" s="136" t="s">
        <v>478</v>
      </c>
      <c r="G60" s="864">
        <f>B60*'Income Data'!E6</f>
        <v>0</v>
      </c>
      <c r="H60" s="865">
        <f>G60*'Income Data'!F6</f>
        <v>0</v>
      </c>
      <c r="I60" s="865" t="e">
        <f>H60/B60</f>
        <v>#DIV/0!</v>
      </c>
      <c r="J60" s="866">
        <f>IF(B12&gt;=76,(B12-76)/76*H60,B12/76*H60)</f>
        <v>0</v>
      </c>
      <c r="K60" s="843"/>
      <c r="L60" s="867">
        <f>B60*(100/C60)^2</f>
        <v>0</v>
      </c>
      <c r="M60" s="666">
        <f>L60*'Cost Data'!C14</f>
        <v>0</v>
      </c>
      <c r="N60" s="666">
        <f>L60*'Cost Data'!C17</f>
        <v>0</v>
      </c>
      <c r="O60" s="666"/>
      <c r="P60" s="666">
        <f>SUM(M60:N60)</f>
        <v>0</v>
      </c>
      <c r="Q60" s="666">
        <f>$B60*'Cost Data'!$C$25*3</f>
        <v>0</v>
      </c>
      <c r="R60" s="666">
        <f>$B60*'Cost Data'!$C$25*2</f>
        <v>0</v>
      </c>
      <c r="S60" s="666">
        <f>$B60*'Cost Data'!$C$25</f>
        <v>0</v>
      </c>
      <c r="T60" s="666">
        <f>0.15*P60</f>
        <v>0</v>
      </c>
      <c r="U60" s="666">
        <f>0.1*P60</f>
        <v>0</v>
      </c>
      <c r="V60" s="666">
        <f>0.05*P60</f>
        <v>0</v>
      </c>
      <c r="W60" s="666">
        <f>IF(D60="Yes",L60*'Cost Data'!C$20,0)</f>
        <v>0</v>
      </c>
      <c r="X60" s="666">
        <f>IF(D60="Yes",L60*'Cost Data'!C$21,0)</f>
        <v>0</v>
      </c>
      <c r="Y60" s="591">
        <f>B60*'Cost Data'!C10</f>
        <v>0</v>
      </c>
      <c r="Z60" s="666">
        <f>IF(E60="Yes",L60*'Cost Data'!C$22,0)</f>
        <v>0</v>
      </c>
      <c r="AA60" s="666">
        <f>IF(F60="Yes",L60*'Cost Data'!$C$19,0)</f>
        <v>0</v>
      </c>
    </row>
    <row r="61" spans="1:27" s="8" customFormat="1" ht="20.100000000000001" customHeight="1" x14ac:dyDescent="0.2">
      <c r="A61" s="211" t="s">
        <v>476</v>
      </c>
      <c r="B61" s="933">
        <v>0</v>
      </c>
      <c r="C61" s="937">
        <v>2</v>
      </c>
      <c r="D61" s="136" t="s">
        <v>478</v>
      </c>
      <c r="E61" s="136" t="s">
        <v>478</v>
      </c>
      <c r="F61" s="136" t="s">
        <v>478</v>
      </c>
      <c r="G61" s="864">
        <f>B61*'Income Data'!E7</f>
        <v>0</v>
      </c>
      <c r="H61" s="865">
        <f>G61*'Income Data'!F7</f>
        <v>0</v>
      </c>
      <c r="I61" s="865" t="e">
        <f>H61/B61</f>
        <v>#DIV/0!</v>
      </c>
      <c r="J61" s="866">
        <f>IF(B12&gt;=60,(B12-60)/60*H61,B12/60*H61)</f>
        <v>0</v>
      </c>
      <c r="K61" s="869"/>
      <c r="L61" s="867">
        <f>B61*(100/C61)^2</f>
        <v>0</v>
      </c>
      <c r="M61" s="666">
        <f>L61*'Cost Data'!C14</f>
        <v>0</v>
      </c>
      <c r="N61" s="666">
        <f>L61*'Cost Data'!C17</f>
        <v>0</v>
      </c>
      <c r="O61" s="666"/>
      <c r="P61" s="666">
        <f>SUM(M61:N61)</f>
        <v>0</v>
      </c>
      <c r="Q61" s="666">
        <f>$B61*'Cost Data'!$C$25*3</f>
        <v>0</v>
      </c>
      <c r="R61" s="666">
        <f>$B61*'Cost Data'!$C$25*2</f>
        <v>0</v>
      </c>
      <c r="S61" s="666">
        <f>$B61*'Cost Data'!$C$25</f>
        <v>0</v>
      </c>
      <c r="T61" s="666">
        <f>0.15*P61</f>
        <v>0</v>
      </c>
      <c r="U61" s="666">
        <f>0.1*P61</f>
        <v>0</v>
      </c>
      <c r="V61" s="666">
        <f>0.05*P61</f>
        <v>0</v>
      </c>
      <c r="W61" s="666">
        <f>IF(D61="Yes",L61*'Cost Data'!C$20,0)</f>
        <v>0</v>
      </c>
      <c r="X61" s="666">
        <f>IF(D61="Yes",L61*'Cost Data'!C$21,0)</f>
        <v>0</v>
      </c>
      <c r="Y61" s="591">
        <f>B61*'Cost Data'!C10</f>
        <v>0</v>
      </c>
      <c r="Z61" s="666">
        <f>IF(E61="Yes",L61*'Cost Data'!C$22,0)</f>
        <v>0</v>
      </c>
      <c r="AA61" s="666">
        <f>IF(F61="Yes",L61*'Cost Data'!$C$19,0)</f>
        <v>0</v>
      </c>
    </row>
    <row r="62" spans="1:27" s="8" customFormat="1" ht="20.100000000000001" customHeight="1" x14ac:dyDescent="0.2">
      <c r="A62" s="211" t="s">
        <v>520</v>
      </c>
      <c r="B62" s="933">
        <v>0</v>
      </c>
      <c r="C62" s="937">
        <v>2</v>
      </c>
      <c r="D62" s="136" t="s">
        <v>478</v>
      </c>
      <c r="E62" s="136" t="s">
        <v>478</v>
      </c>
      <c r="F62" s="136" t="s">
        <v>478</v>
      </c>
      <c r="G62" s="870"/>
      <c r="H62" s="871"/>
      <c r="I62" s="871"/>
      <c r="J62" s="872"/>
      <c r="K62" s="869"/>
      <c r="L62" s="867">
        <f>B62*(100/C62)^2</f>
        <v>0</v>
      </c>
      <c r="M62" s="666">
        <f>L62*'Cost Data'!C$14</f>
        <v>0</v>
      </c>
      <c r="N62" s="666">
        <f>L62*'Cost Data'!C$17</f>
        <v>0</v>
      </c>
      <c r="O62" s="666"/>
      <c r="P62" s="666">
        <f>SUM(M62:N62)</f>
        <v>0</v>
      </c>
      <c r="Q62" s="666">
        <f>$B62*'Cost Data'!$C$25*3</f>
        <v>0</v>
      </c>
      <c r="R62" s="666">
        <f>$B62*'Cost Data'!$C$25*2</f>
        <v>0</v>
      </c>
      <c r="S62" s="666">
        <f>$B62*'Cost Data'!$C$25</f>
        <v>0</v>
      </c>
      <c r="T62" s="666">
        <f>0.15*P62</f>
        <v>0</v>
      </c>
      <c r="U62" s="666">
        <f>0.1*P62</f>
        <v>0</v>
      </c>
      <c r="V62" s="666">
        <f>0.05*P62</f>
        <v>0</v>
      </c>
      <c r="W62" s="666">
        <f>IF(D62="Yes",L62*'Cost Data'!C$20,0)</f>
        <v>0</v>
      </c>
      <c r="X62" s="666">
        <f>IF(D62="Yes",L62*'Cost Data'!C$21,0)</f>
        <v>0</v>
      </c>
      <c r="Y62" s="873"/>
      <c r="Z62" s="666">
        <f>IF(E62="Yes",L62*'Cost Data'!C$22,0)</f>
        <v>0</v>
      </c>
      <c r="AA62" s="666">
        <f>IF(F62="Yes",L62*'Cost Data'!$C$19,0)</f>
        <v>0</v>
      </c>
    </row>
    <row r="63" spans="1:27" s="8" customFormat="1" ht="20.100000000000001" customHeight="1" x14ac:dyDescent="0.2">
      <c r="A63" s="441" t="s">
        <v>521</v>
      </c>
      <c r="B63" s="1009">
        <v>0</v>
      </c>
      <c r="C63" s="874" t="s">
        <v>33</v>
      </c>
      <c r="D63" s="874" t="s">
        <v>33</v>
      </c>
      <c r="E63" s="874" t="s">
        <v>33</v>
      </c>
      <c r="F63" s="874" t="s">
        <v>33</v>
      </c>
      <c r="G63" s="875"/>
      <c r="H63" s="876"/>
      <c r="I63" s="876"/>
      <c r="J63" s="872"/>
      <c r="K63" s="869"/>
      <c r="L63" s="873"/>
      <c r="M63" s="873"/>
      <c r="N63" s="873"/>
      <c r="O63" s="873"/>
      <c r="P63" s="873"/>
      <c r="Q63" s="873"/>
      <c r="R63" s="873"/>
      <c r="S63" s="873"/>
      <c r="T63" s="873"/>
      <c r="U63" s="873"/>
      <c r="V63" s="873"/>
      <c r="W63" s="873"/>
      <c r="X63" s="877"/>
      <c r="Y63" s="873"/>
      <c r="Z63" s="873"/>
      <c r="AA63" s="878"/>
    </row>
    <row r="64" spans="1:27" s="8" customFormat="1" ht="20.100000000000001" customHeight="1" x14ac:dyDescent="0.2">
      <c r="A64" s="617" t="s">
        <v>213</v>
      </c>
      <c r="B64" s="930">
        <f>SUM(B59:B63)</f>
        <v>0</v>
      </c>
      <c r="C64" s="879"/>
      <c r="D64" s="880"/>
      <c r="E64" s="617"/>
      <c r="F64" s="659"/>
      <c r="G64" s="881"/>
      <c r="H64" s="882"/>
      <c r="I64" s="882"/>
      <c r="J64" s="883"/>
      <c r="K64" s="869"/>
      <c r="L64" s="884"/>
      <c r="M64" s="811">
        <f>SUM(M59:M62)</f>
        <v>0</v>
      </c>
      <c r="N64" s="811">
        <f>SUM(N59:N62)</f>
        <v>0</v>
      </c>
      <c r="O64" s="811"/>
      <c r="P64" s="811">
        <f t="shared" ref="P64:X64" si="0">SUM(P59:P62)</f>
        <v>0</v>
      </c>
      <c r="Q64" s="811">
        <f t="shared" si="0"/>
        <v>0</v>
      </c>
      <c r="R64" s="811">
        <f t="shared" si="0"/>
        <v>0</v>
      </c>
      <c r="S64" s="811">
        <f t="shared" si="0"/>
        <v>0</v>
      </c>
      <c r="T64" s="811">
        <f t="shared" si="0"/>
        <v>0</v>
      </c>
      <c r="U64" s="811">
        <f t="shared" si="0"/>
        <v>0</v>
      </c>
      <c r="V64" s="811">
        <f t="shared" si="0"/>
        <v>0</v>
      </c>
      <c r="W64" s="811">
        <f t="shared" si="0"/>
        <v>0</v>
      </c>
      <c r="X64" s="811">
        <f t="shared" si="0"/>
        <v>0</v>
      </c>
      <c r="Y64" s="802"/>
      <c r="Z64" s="811">
        <f>SUM(Z59:Z62)</f>
        <v>0</v>
      </c>
      <c r="AA64" s="811">
        <f>SUM(AA59:AA62)</f>
        <v>0</v>
      </c>
    </row>
    <row r="65" spans="1:27" s="8" customFormat="1" ht="20.100000000000001" customHeight="1" x14ac:dyDescent="0.2">
      <c r="A65" s="211" t="s">
        <v>475</v>
      </c>
      <c r="B65" s="933">
        <v>0</v>
      </c>
      <c r="C65" s="937">
        <v>2.5</v>
      </c>
      <c r="D65" s="136" t="s">
        <v>478</v>
      </c>
      <c r="E65" s="136" t="s">
        <v>478</v>
      </c>
      <c r="F65" s="136" t="s">
        <v>478</v>
      </c>
      <c r="G65" s="870"/>
      <c r="H65" s="871"/>
      <c r="I65" s="885"/>
      <c r="J65" s="872"/>
      <c r="K65" s="869"/>
      <c r="L65" s="867">
        <f>B65*(100/C65)^2</f>
        <v>0</v>
      </c>
      <c r="M65" s="666">
        <f>L65*'Cost Data'!C$15</f>
        <v>0</v>
      </c>
      <c r="N65" s="666">
        <f>L65*'Cost Data'!C$18</f>
        <v>0</v>
      </c>
      <c r="O65" s="666"/>
      <c r="P65" s="666">
        <f>SUM(M65:N65)</f>
        <v>0</v>
      </c>
      <c r="Q65" s="666">
        <f>$B65*'Cost Data'!$C$25*3</f>
        <v>0</v>
      </c>
      <c r="R65" s="666">
        <f>$B65*'Cost Data'!$C$25*2</f>
        <v>0</v>
      </c>
      <c r="S65" s="666">
        <f>$B65*'Cost Data'!$C$25</f>
        <v>0</v>
      </c>
      <c r="T65" s="666">
        <f>0.15*P$65</f>
        <v>0</v>
      </c>
      <c r="U65" s="666">
        <f>0.1*P$65</f>
        <v>0</v>
      </c>
      <c r="V65" s="666">
        <f>0.05*P$65</f>
        <v>0</v>
      </c>
      <c r="W65" s="666">
        <f>IF(D65="Yes",L65*'Cost Data'!C$20,0)</f>
        <v>0</v>
      </c>
      <c r="X65" s="666">
        <f>IF(D65="Yes",L65*'Cost Data'!C$21,0)</f>
        <v>0</v>
      </c>
      <c r="Y65" s="873"/>
      <c r="Z65" s="666">
        <f>IF(E65="Yes",L65*'Cost Data'!C$22,0)</f>
        <v>0</v>
      </c>
      <c r="AA65" s="666">
        <f>IF(F65="Yes",L65*'Cost Data'!$C$19,0)</f>
        <v>0</v>
      </c>
    </row>
    <row r="66" spans="1:27" s="8" customFormat="1" ht="20.100000000000001" customHeight="1" x14ac:dyDescent="0.2">
      <c r="A66" s="211" t="s">
        <v>474</v>
      </c>
      <c r="B66" s="933">
        <v>0</v>
      </c>
      <c r="C66" s="937">
        <v>2.5</v>
      </c>
      <c r="D66" s="136" t="s">
        <v>478</v>
      </c>
      <c r="E66" s="136" t="s">
        <v>478</v>
      </c>
      <c r="F66" s="136" t="s">
        <v>478</v>
      </c>
      <c r="G66" s="870"/>
      <c r="H66" s="871"/>
      <c r="I66" s="871"/>
      <c r="J66" s="872"/>
      <c r="K66" s="869"/>
      <c r="L66" s="867">
        <f>B66*(100/C66)^2</f>
        <v>0</v>
      </c>
      <c r="M66" s="666">
        <f>L66*'Cost Data'!C$15</f>
        <v>0</v>
      </c>
      <c r="N66" s="666">
        <f>L66*'Cost Data'!C$18</f>
        <v>0</v>
      </c>
      <c r="O66" s="666"/>
      <c r="P66" s="666">
        <f>SUM(M66:N66)</f>
        <v>0</v>
      </c>
      <c r="Q66" s="666">
        <f>$B66*'Cost Data'!$C$25*3</f>
        <v>0</v>
      </c>
      <c r="R66" s="666">
        <f>$B66*'Cost Data'!$C$25*2</f>
        <v>0</v>
      </c>
      <c r="S66" s="666">
        <f>$B66*'Cost Data'!$C$25</f>
        <v>0</v>
      </c>
      <c r="T66" s="666">
        <f>0.15*P$66</f>
        <v>0</v>
      </c>
      <c r="U66" s="666">
        <f>0.1*P$66</f>
        <v>0</v>
      </c>
      <c r="V66" s="666">
        <f>0.05*P$66</f>
        <v>0</v>
      </c>
      <c r="W66" s="666">
        <f>IF(D66="Yes",L66*'Cost Data'!C$20,0)</f>
        <v>0</v>
      </c>
      <c r="X66" s="666">
        <f>IF(D66="Yes",L66*'Cost Data'!C$21,0)</f>
        <v>0</v>
      </c>
      <c r="Y66" s="873"/>
      <c r="Z66" s="666">
        <f>IF(E66="Yes",L66*'Cost Data'!C$22,0)</f>
        <v>0</v>
      </c>
      <c r="AA66" s="666">
        <f>IF(F66="Yes",L66*'Cost Data'!$C$19,0)</f>
        <v>0</v>
      </c>
    </row>
    <row r="67" spans="1:27" s="8" customFormat="1" ht="20.100000000000001" customHeight="1" x14ac:dyDescent="0.2">
      <c r="A67" s="441" t="s">
        <v>505</v>
      </c>
      <c r="B67" s="1009">
        <v>0</v>
      </c>
      <c r="C67" s="874" t="s">
        <v>33</v>
      </c>
      <c r="D67" s="874" t="s">
        <v>33</v>
      </c>
      <c r="E67" s="874" t="s">
        <v>33</v>
      </c>
      <c r="F67" s="960" t="s">
        <v>33</v>
      </c>
      <c r="G67" s="875"/>
      <c r="H67" s="876"/>
      <c r="I67" s="876"/>
      <c r="J67" s="872"/>
      <c r="K67" s="869"/>
      <c r="L67" s="873"/>
      <c r="M67" s="873"/>
      <c r="N67" s="873"/>
      <c r="O67" s="873"/>
      <c r="P67" s="873"/>
      <c r="Q67" s="873"/>
      <c r="R67" s="873"/>
      <c r="S67" s="873"/>
      <c r="T67" s="873"/>
      <c r="U67" s="873"/>
      <c r="V67" s="873"/>
      <c r="W67" s="873"/>
      <c r="X67" s="877"/>
      <c r="Y67" s="873"/>
      <c r="Z67" s="873"/>
      <c r="AA67" s="878"/>
    </row>
    <row r="68" spans="1:27" s="8" customFormat="1" ht="20.100000000000001" customHeight="1" thickBot="1" x14ac:dyDescent="0.25">
      <c r="A68" s="617" t="s">
        <v>214</v>
      </c>
      <c r="B68" s="930">
        <f>SUM(B65:B67)</f>
        <v>0</v>
      </c>
      <c r="C68" s="618"/>
      <c r="D68" s="618"/>
      <c r="E68" s="617"/>
      <c r="F68" s="623"/>
      <c r="G68" s="881"/>
      <c r="H68" s="882"/>
      <c r="I68" s="882"/>
      <c r="J68" s="886"/>
      <c r="K68" s="869"/>
      <c r="L68" s="884"/>
      <c r="M68" s="811">
        <f>SUM(M65:M66)</f>
        <v>0</v>
      </c>
      <c r="N68" s="811">
        <f>SUM(N65:N66)</f>
        <v>0</v>
      </c>
      <c r="O68" s="811"/>
      <c r="P68" s="811">
        <f t="shared" ref="P68:X68" si="1">SUM(P65:P66)</f>
        <v>0</v>
      </c>
      <c r="Q68" s="811">
        <f t="shared" si="1"/>
        <v>0</v>
      </c>
      <c r="R68" s="811">
        <f t="shared" si="1"/>
        <v>0</v>
      </c>
      <c r="S68" s="811">
        <f t="shared" si="1"/>
        <v>0</v>
      </c>
      <c r="T68" s="811">
        <f t="shared" si="1"/>
        <v>0</v>
      </c>
      <c r="U68" s="811">
        <f t="shared" si="1"/>
        <v>0</v>
      </c>
      <c r="V68" s="811">
        <f t="shared" si="1"/>
        <v>0</v>
      </c>
      <c r="W68" s="811">
        <f t="shared" si="1"/>
        <v>0</v>
      </c>
      <c r="X68" s="811">
        <f t="shared" si="1"/>
        <v>0</v>
      </c>
      <c r="Y68" s="802"/>
      <c r="Z68" s="811">
        <f>SUM(Z65:Z66)</f>
        <v>0</v>
      </c>
      <c r="AA68" s="811">
        <f>SUM(AA65:AA66)</f>
        <v>0</v>
      </c>
    </row>
    <row r="69" spans="1:27" s="729" customFormat="1" ht="20.100000000000001" customHeight="1" thickTop="1" thickBot="1" x14ac:dyDescent="0.25">
      <c r="A69" s="887" t="s">
        <v>477</v>
      </c>
      <c r="B69" s="1010">
        <f>SUM(B64,B68)</f>
        <v>0</v>
      </c>
      <c r="C69" s="403" t="s">
        <v>439</v>
      </c>
      <c r="D69" s="888"/>
      <c r="E69" s="889"/>
      <c r="F69" s="890"/>
      <c r="G69" s="891"/>
      <c r="H69" s="891"/>
      <c r="I69" s="888"/>
      <c r="J69" s="892">
        <f>SUM(J59:J68)</f>
        <v>0</v>
      </c>
      <c r="K69" s="8"/>
      <c r="AA69" s="893"/>
    </row>
    <row r="70" spans="1:27" s="729" customFormat="1" ht="15" customHeight="1" thickTop="1" x14ac:dyDescent="0.2">
      <c r="A70" s="889"/>
      <c r="B70" s="894"/>
      <c r="C70" s="429" t="s">
        <v>493</v>
      </c>
      <c r="D70" s="889"/>
      <c r="E70" s="889"/>
      <c r="F70" s="889"/>
      <c r="G70" s="895"/>
      <c r="H70" s="895"/>
      <c r="I70" s="889"/>
      <c r="J70" s="896"/>
      <c r="K70" s="8"/>
      <c r="AA70" s="893"/>
    </row>
    <row r="71" spans="1:27" s="8" customFormat="1" ht="18.75" customHeight="1" x14ac:dyDescent="0.2">
      <c r="A71" s="689" t="s">
        <v>481</v>
      </c>
      <c r="C71" s="897"/>
      <c r="D71" s="897"/>
      <c r="E71" s="451"/>
      <c r="F71" s="666"/>
      <c r="AA71" s="775"/>
    </row>
    <row r="72" spans="1:27" s="8" customFormat="1" ht="20.100000000000001" customHeight="1" x14ac:dyDescent="0.2">
      <c r="A72" s="803"/>
      <c r="B72" s="830" t="s">
        <v>277</v>
      </c>
      <c r="D72" s="429"/>
      <c r="E72" s="429"/>
      <c r="F72" s="666"/>
      <c r="G72" s="848" t="s">
        <v>156</v>
      </c>
      <c r="H72" s="852"/>
      <c r="AA72" s="775"/>
    </row>
    <row r="73" spans="1:27" s="8" customFormat="1" ht="20.100000000000001" customHeight="1" x14ac:dyDescent="0.2">
      <c r="A73" s="443" t="s">
        <v>20</v>
      </c>
      <c r="B73" s="136" t="s">
        <v>478</v>
      </c>
      <c r="D73" s="451"/>
      <c r="E73" s="451"/>
      <c r="F73" s="666"/>
      <c r="G73" s="814">
        <f>IF(AND(B9&lt;=10,'Data Entry'!B73="Yes"),'Cost Data'!C36*B9,IF('Data Entry'!B73="Yes",'Cost Data'!C36*10+('Data Entry'!B9-10)*'Cost Data'!C37,0))</f>
        <v>0</v>
      </c>
      <c r="H73" s="898" t="s">
        <v>273</v>
      </c>
      <c r="AA73" s="775"/>
    </row>
    <row r="74" spans="1:27" s="8" customFormat="1" ht="20.100000000000001" customHeight="1" x14ac:dyDescent="0.2">
      <c r="A74" s="443" t="s">
        <v>14</v>
      </c>
      <c r="B74" s="136" t="s">
        <v>478</v>
      </c>
      <c r="C74" s="899"/>
      <c r="D74" s="429"/>
      <c r="E74" s="429"/>
      <c r="F74" s="777"/>
      <c r="G74" s="900" t="s">
        <v>452</v>
      </c>
      <c r="H74" s="901"/>
      <c r="I74" s="697"/>
      <c r="J74" s="697"/>
      <c r="AA74" s="775"/>
    </row>
    <row r="75" spans="1:27" s="8" customFormat="1" ht="20.100000000000001" customHeight="1" x14ac:dyDescent="0.2">
      <c r="A75" s="443" t="s">
        <v>136</v>
      </c>
      <c r="B75" s="136" t="s">
        <v>478</v>
      </c>
      <c r="C75" s="902"/>
      <c r="D75" s="429"/>
      <c r="E75" s="451"/>
      <c r="F75" s="841"/>
      <c r="G75" s="842">
        <f>IF(B75="Yes",B10*'Cost Data'!C23,0)</f>
        <v>0</v>
      </c>
      <c r="AA75" s="775"/>
    </row>
    <row r="76" spans="1:27" s="8" customFormat="1" ht="15" customHeight="1" x14ac:dyDescent="0.2">
      <c r="B76" s="451"/>
      <c r="C76" s="451"/>
      <c r="D76" s="429"/>
      <c r="E76" s="451"/>
      <c r="F76" s="666"/>
      <c r="G76" s="697"/>
      <c r="AA76" s="775"/>
    </row>
    <row r="77" spans="1:27" s="8" customFormat="1" ht="19.5" x14ac:dyDescent="0.2">
      <c r="A77" s="798" t="s">
        <v>6</v>
      </c>
      <c r="E77" s="451"/>
      <c r="F77" s="666"/>
      <c r="AA77" s="775"/>
    </row>
    <row r="78" spans="1:27" s="729" customFormat="1" ht="20.100000000000001" customHeight="1" x14ac:dyDescent="0.2">
      <c r="A78" s="729" t="s">
        <v>579</v>
      </c>
      <c r="B78" s="8"/>
      <c r="C78" s="8"/>
      <c r="D78" s="8"/>
      <c r="E78" s="451"/>
      <c r="F78" s="666"/>
      <c r="G78" s="8"/>
      <c r="AA78" s="893"/>
    </row>
    <row r="79" spans="1:27" s="8" customFormat="1" ht="20.100000000000001" customHeight="1" x14ac:dyDescent="0.2">
      <c r="A79" s="903"/>
      <c r="B79" s="830" t="s">
        <v>157</v>
      </c>
      <c r="C79" s="830" t="s">
        <v>207</v>
      </c>
      <c r="D79" s="797"/>
      <c r="E79" s="429"/>
      <c r="F79" s="666"/>
      <c r="G79" s="904" t="s">
        <v>359</v>
      </c>
      <c r="H79" s="905"/>
      <c r="AA79" s="775"/>
    </row>
    <row r="80" spans="1:27" s="8" customFormat="1" ht="20.100000000000001" customHeight="1" x14ac:dyDescent="0.2">
      <c r="A80" s="443" t="s">
        <v>17</v>
      </c>
      <c r="B80" s="938">
        <v>0</v>
      </c>
      <c r="C80" s="443"/>
      <c r="D80" s="1030" t="s">
        <v>577</v>
      </c>
      <c r="E80" s="451"/>
      <c r="F80" s="777"/>
      <c r="AA80" s="775"/>
    </row>
    <row r="81" spans="1:27" s="8" customFormat="1" ht="20.100000000000001" customHeight="1" x14ac:dyDescent="0.2">
      <c r="A81" s="443" t="s">
        <v>18</v>
      </c>
      <c r="B81" s="938">
        <v>0</v>
      </c>
      <c r="C81" s="657"/>
      <c r="D81" s="1030" t="s">
        <v>576</v>
      </c>
      <c r="E81" s="429"/>
      <c r="F81" s="777"/>
      <c r="AA81" s="775"/>
    </row>
    <row r="82" spans="1:27" s="8" customFormat="1" ht="31.5" customHeight="1" x14ac:dyDescent="0.2">
      <c r="A82" s="443" t="s">
        <v>71</v>
      </c>
      <c r="B82" s="939">
        <v>0</v>
      </c>
      <c r="C82" s="941">
        <v>0</v>
      </c>
      <c r="D82" s="1049" t="s">
        <v>581</v>
      </c>
      <c r="E82" s="1053"/>
      <c r="F82" s="1053"/>
      <c r="G82" s="793"/>
      <c r="H82" s="697"/>
      <c r="I82" s="697"/>
      <c r="AA82" s="775"/>
    </row>
    <row r="83" spans="1:27" s="8" customFormat="1" ht="39" customHeight="1" x14ac:dyDescent="0.2">
      <c r="A83" s="940" t="s">
        <v>304</v>
      </c>
      <c r="B83" s="938">
        <v>0</v>
      </c>
      <c r="C83" s="940">
        <v>0</v>
      </c>
      <c r="D83" s="1049" t="s">
        <v>582</v>
      </c>
      <c r="E83" s="1050"/>
      <c r="F83" s="1050"/>
      <c r="G83" s="793"/>
      <c r="H83" s="697"/>
      <c r="I83" s="697"/>
      <c r="AA83" s="775"/>
    </row>
    <row r="84" spans="1:27" s="8" customFormat="1" ht="63.75" customHeight="1" x14ac:dyDescent="0.2">
      <c r="A84" s="1008" t="s">
        <v>587</v>
      </c>
      <c r="B84" s="136" t="s">
        <v>478</v>
      </c>
      <c r="C84" s="443"/>
      <c r="D84" s="1049" t="s">
        <v>593</v>
      </c>
      <c r="E84" s="1050"/>
      <c r="F84" s="1050"/>
      <c r="G84" s="793"/>
      <c r="H84" s="697"/>
      <c r="I84" s="697"/>
      <c r="AA84" s="775"/>
    </row>
    <row r="85" spans="1:27" s="8" customFormat="1" ht="15" customHeight="1" x14ac:dyDescent="0.2">
      <c r="A85" s="889"/>
      <c r="B85" s="429"/>
      <c r="C85" s="889"/>
      <c r="E85" s="889"/>
      <c r="F85" s="895"/>
      <c r="G85" s="697"/>
      <c r="AA85" s="775"/>
    </row>
    <row r="86" spans="1:27" s="8" customFormat="1" ht="15" customHeight="1" x14ac:dyDescent="0.2">
      <c r="A86" s="889" t="s">
        <v>317</v>
      </c>
      <c r="B86" s="429"/>
      <c r="C86" s="889"/>
      <c r="D86" s="889"/>
      <c r="E86" s="889"/>
      <c r="F86" s="895"/>
      <c r="G86" s="897"/>
      <c r="AA86" s="775"/>
    </row>
    <row r="87" spans="1:27" s="8" customFormat="1" ht="25.5" x14ac:dyDescent="0.2">
      <c r="A87" s="805"/>
      <c r="B87" s="906" t="s">
        <v>157</v>
      </c>
      <c r="C87" s="907" t="s">
        <v>158</v>
      </c>
      <c r="D87" s="908" t="s">
        <v>501</v>
      </c>
      <c r="E87" s="1049" t="s">
        <v>565</v>
      </c>
      <c r="F87" s="666"/>
      <c r="AA87" s="775"/>
    </row>
    <row r="88" spans="1:27" s="8" customFormat="1" ht="20.100000000000001" customHeight="1" x14ac:dyDescent="0.2">
      <c r="A88" s="942" t="s">
        <v>578</v>
      </c>
      <c r="B88" s="943">
        <v>0</v>
      </c>
      <c r="C88" s="944" t="s">
        <v>363</v>
      </c>
      <c r="D88" s="945">
        <v>2022</v>
      </c>
      <c r="E88" s="1055"/>
      <c r="F88" s="666"/>
      <c r="G88" s="909" t="s">
        <v>279</v>
      </c>
      <c r="AA88" s="775"/>
    </row>
    <row r="89" spans="1:27" s="8" customFormat="1" ht="15" customHeight="1" x14ac:dyDescent="0.2">
      <c r="A89" s="729"/>
      <c r="B89" s="910"/>
      <c r="C89" s="910"/>
      <c r="D89" s="910"/>
      <c r="E89" s="451"/>
      <c r="F89" s="666"/>
      <c r="AA89" s="775"/>
    </row>
    <row r="90" spans="1:27" s="8" customFormat="1" ht="15" customHeight="1" x14ac:dyDescent="0.2">
      <c r="A90" s="889" t="s">
        <v>318</v>
      </c>
      <c r="B90" s="911"/>
      <c r="C90" s="912"/>
      <c r="D90" s="912"/>
      <c r="E90" s="889"/>
      <c r="F90" s="666"/>
      <c r="AA90" s="775"/>
    </row>
    <row r="91" spans="1:27" s="8" customFormat="1" ht="25.5" x14ac:dyDescent="0.2">
      <c r="A91" s="805"/>
      <c r="B91" s="906" t="s">
        <v>157</v>
      </c>
      <c r="C91" s="907" t="s">
        <v>158</v>
      </c>
      <c r="D91" s="908" t="s">
        <v>502</v>
      </c>
      <c r="E91" s="889"/>
      <c r="F91" s="666"/>
      <c r="AA91" s="775"/>
    </row>
    <row r="92" spans="1:27" s="8" customFormat="1" ht="20.100000000000001" customHeight="1" x14ac:dyDescent="0.2">
      <c r="A92" s="942" t="s">
        <v>172</v>
      </c>
      <c r="B92" s="943">
        <v>0</v>
      </c>
      <c r="C92" s="944" t="s">
        <v>363</v>
      </c>
      <c r="D92" s="945">
        <v>2022</v>
      </c>
      <c r="E92" s="1049" t="s">
        <v>565</v>
      </c>
      <c r="F92" s="666"/>
      <c r="G92" s="909" t="s">
        <v>279</v>
      </c>
      <c r="AA92" s="775"/>
    </row>
    <row r="93" spans="1:27" s="8" customFormat="1" ht="20.100000000000001" customHeight="1" x14ac:dyDescent="0.2">
      <c r="A93" s="942" t="s">
        <v>173</v>
      </c>
      <c r="B93" s="943">
        <v>0</v>
      </c>
      <c r="C93" s="944" t="s">
        <v>363</v>
      </c>
      <c r="D93" s="945">
        <v>2022</v>
      </c>
      <c r="E93" s="1054"/>
      <c r="F93" s="666"/>
      <c r="G93" s="909" t="s">
        <v>279</v>
      </c>
      <c r="AA93" s="775"/>
    </row>
    <row r="94" spans="1:27" s="8" customFormat="1" ht="20.100000000000001" customHeight="1" x14ac:dyDescent="0.2">
      <c r="A94" s="942" t="s">
        <v>174</v>
      </c>
      <c r="B94" s="943">
        <v>0</v>
      </c>
      <c r="C94" s="944" t="s">
        <v>363</v>
      </c>
      <c r="D94" s="945">
        <v>2022</v>
      </c>
      <c r="E94" s="1054"/>
      <c r="F94" s="666"/>
      <c r="G94" s="909" t="s">
        <v>279</v>
      </c>
      <c r="AA94" s="775"/>
    </row>
    <row r="95" spans="1:27" s="8" customFormat="1" ht="15" customHeight="1" x14ac:dyDescent="0.2">
      <c r="E95" s="451"/>
      <c r="F95" s="666"/>
      <c r="AA95" s="775"/>
    </row>
    <row r="96" spans="1:27" s="8" customFormat="1" ht="19.5" x14ac:dyDescent="0.2">
      <c r="A96" s="913" t="s">
        <v>319</v>
      </c>
      <c r="B96" s="914"/>
      <c r="C96" s="451"/>
      <c r="D96" s="697"/>
      <c r="E96" s="451"/>
      <c r="F96" s="666"/>
      <c r="AA96" s="775"/>
    </row>
    <row r="97" spans="1:27" s="8" customFormat="1" ht="13.5" thickBot="1" x14ac:dyDescent="0.25">
      <c r="A97" s="429" t="s">
        <v>522</v>
      </c>
      <c r="B97" s="690"/>
      <c r="C97" s="690"/>
      <c r="D97" s="690"/>
      <c r="E97" s="690"/>
      <c r="F97" s="690"/>
      <c r="G97" s="451"/>
      <c r="H97" s="691" t="s">
        <v>34</v>
      </c>
      <c r="I97" s="692"/>
      <c r="L97" s="691" t="s">
        <v>57</v>
      </c>
      <c r="M97" s="693"/>
      <c r="N97" s="693"/>
      <c r="O97" s="693"/>
      <c r="P97" s="693"/>
      <c r="Q97" s="693"/>
      <c r="R97" s="694"/>
      <c r="U97" s="691" t="s">
        <v>35</v>
      </c>
      <c r="V97" s="695"/>
      <c r="W97" s="692"/>
      <c r="AA97" s="775"/>
    </row>
    <row r="98" spans="1:27" s="8" customFormat="1" ht="27" thickTop="1" thickBot="1" x14ac:dyDescent="0.25">
      <c r="A98" s="950" t="s">
        <v>316</v>
      </c>
      <c r="B98" s="915"/>
      <c r="C98" s="915"/>
      <c r="D98" s="915"/>
      <c r="E98" s="915"/>
      <c r="F98" s="915"/>
      <c r="G98" s="754"/>
      <c r="H98" s="696"/>
      <c r="I98" s="697"/>
      <c r="L98" s="17" t="s">
        <v>31</v>
      </c>
      <c r="M98" s="18" t="s">
        <v>27</v>
      </c>
      <c r="N98" s="18" t="s">
        <v>28</v>
      </c>
      <c r="O98" s="18" t="s">
        <v>408</v>
      </c>
      <c r="P98" s="18" t="s">
        <v>16</v>
      </c>
      <c r="Q98" s="18" t="s">
        <v>29</v>
      </c>
      <c r="R98" s="19" t="s">
        <v>38</v>
      </c>
      <c r="S98" s="20" t="s">
        <v>39</v>
      </c>
      <c r="U98" s="21" t="s">
        <v>31</v>
      </c>
      <c r="V98" s="22" t="s">
        <v>36</v>
      </c>
      <c r="W98" s="23" t="s">
        <v>37</v>
      </c>
      <c r="AA98" s="775"/>
    </row>
    <row r="99" spans="1:27" s="8" customFormat="1" ht="51.75" thickBot="1" x14ac:dyDescent="0.25">
      <c r="A99" s="221" t="s">
        <v>118</v>
      </c>
      <c r="B99" s="222" t="s">
        <v>22</v>
      </c>
      <c r="C99" s="222" t="s">
        <v>23</v>
      </c>
      <c r="D99" s="222" t="s">
        <v>44</v>
      </c>
      <c r="E99" s="222" t="s">
        <v>45</v>
      </c>
      <c r="F99" s="222" t="s">
        <v>46</v>
      </c>
      <c r="G99" s="755"/>
      <c r="H99" s="13" t="s">
        <v>466</v>
      </c>
      <c r="I99" s="10" t="s">
        <v>467</v>
      </c>
      <c r="J99" s="10" t="s">
        <v>468</v>
      </c>
      <c r="L99" s="698">
        <v>0</v>
      </c>
      <c r="M99" s="699">
        <f>('Cost Data'!C56+'Cost Data'!C57)*F111</f>
        <v>0</v>
      </c>
      <c r="N99" s="699"/>
      <c r="O99" s="700">
        <f>IF(B$16="Single project",SUM('Cost Data'!C$48:C$49),(IF(B$16="Group of projects",SUM('Cost Data'!D$48:D$49),0)))</f>
        <v>1300</v>
      </c>
      <c r="P99" s="701">
        <v>0</v>
      </c>
      <c r="Q99" s="702">
        <f>IF(B$16="Single project",'Cost Data'!C$50,IF(B$16="Group of projects",'Cost Data'!D$50,0))</f>
        <v>1282</v>
      </c>
      <c r="R99" s="703">
        <f t="shared" ref="R99:R110" si="2">SUM(M99:Q99)</f>
        <v>2582</v>
      </c>
      <c r="S99" s="704">
        <f>R99</f>
        <v>2582</v>
      </c>
      <c r="U99" s="698">
        <f t="shared" ref="U99:U111" si="3">L99</f>
        <v>0</v>
      </c>
      <c r="V99" s="500">
        <f>-R99</f>
        <v>-2582</v>
      </c>
      <c r="W99" s="705">
        <f>-R99</f>
        <v>-2582</v>
      </c>
      <c r="AA99" s="775"/>
    </row>
    <row r="100" spans="1:27" s="8" customFormat="1" ht="15" customHeight="1" x14ac:dyDescent="0.2">
      <c r="A100" s="63">
        <v>5</v>
      </c>
      <c r="B100" s="64">
        <v>44287</v>
      </c>
      <c r="C100" s="64">
        <v>46112</v>
      </c>
      <c r="D100" s="65">
        <v>0</v>
      </c>
      <c r="E100" s="65">
        <v>0</v>
      </c>
      <c r="F100" s="762">
        <v>0</v>
      </c>
      <c r="G100" s="756"/>
      <c r="H100" s="706">
        <f>$F100*'Income Data'!$K$5</f>
        <v>0</v>
      </c>
      <c r="I100" s="707">
        <f>H100</f>
        <v>0</v>
      </c>
      <c r="J100" s="708"/>
      <c r="L100" s="698">
        <f t="shared" ref="L100:L111" si="4">A100</f>
        <v>5</v>
      </c>
      <c r="M100" s="699"/>
      <c r="N100" s="699">
        <f>IF($B$16="Single project",MAX(100,F100*'Cost Data'!$C$58),MAX(100/7,F100*'Cost Data'!$C$58))</f>
        <v>100</v>
      </c>
      <c r="O100" s="700">
        <f>IF(B$16="Single project",'Cost Data'!C$51,(IF(B$16="Group of projects",'Cost Data'!D$51,0)))</f>
        <v>500</v>
      </c>
      <c r="P100" s="701">
        <f>IF(B$17="Yes",'Cost Data'!E$60,IF(B$9&lt;=50,'Cost Data'!D$60,'Cost Data'!C$60))</f>
        <v>500</v>
      </c>
      <c r="Q100" s="709">
        <f>IF(B$16="Single project",'Cost Data'!C$52,IF(B$16="Group of projects",'Cost Data'!D$52,0))</f>
        <v>1882</v>
      </c>
      <c r="R100" s="703">
        <f t="shared" si="2"/>
        <v>2982</v>
      </c>
      <c r="S100" s="704">
        <f t="shared" ref="S100:S110" si="5">S99+R100</f>
        <v>5564</v>
      </c>
      <c r="U100" s="698">
        <f t="shared" si="3"/>
        <v>5</v>
      </c>
      <c r="V100" s="500">
        <f>H100-R100</f>
        <v>-2982</v>
      </c>
      <c r="W100" s="705">
        <f>I100-S100</f>
        <v>-5564</v>
      </c>
      <c r="AA100" s="775"/>
    </row>
    <row r="101" spans="1:27" s="8" customFormat="1" ht="15" customHeight="1" x14ac:dyDescent="0.2">
      <c r="A101" s="359">
        <v>15</v>
      </c>
      <c r="B101" s="67">
        <v>46113</v>
      </c>
      <c r="C101" s="67">
        <v>49765</v>
      </c>
      <c r="D101" s="68">
        <v>0</v>
      </c>
      <c r="E101" s="68">
        <v>0</v>
      </c>
      <c r="F101" s="763">
        <v>0</v>
      </c>
      <c r="G101" s="756"/>
      <c r="H101" s="710">
        <f>$F101*'Income Data'!$K$5</f>
        <v>0</v>
      </c>
      <c r="I101" s="711">
        <f>SUM(H$100:H101)</f>
        <v>0</v>
      </c>
      <c r="J101" s="712"/>
      <c r="L101" s="698">
        <f t="shared" si="4"/>
        <v>15</v>
      </c>
      <c r="M101" s="699"/>
      <c r="N101" s="699">
        <f>IF($B$16="Single project",MAX(100,F101*'Cost Data'!$C$58),MAX(100/7,F101*'Cost Data'!$C$58))</f>
        <v>100</v>
      </c>
      <c r="O101" s="700">
        <f>IF(A101&lt;=B$12,IF(B$16="Single project",'Cost Data'!C$53,(IF(B$16="Group of projects",'Cost Data'!D$53,0))),0)</f>
        <v>500</v>
      </c>
      <c r="P101" s="701">
        <f>IF(A101&lt;=B$12,IF(B$17="Yes",'Cost Data'!E$60,IF(B$9&lt;=50,'Cost Data'!D$60,'Cost Data'!C$60)),0)</f>
        <v>500</v>
      </c>
      <c r="Q101" s="709">
        <f>IF(A101&lt;=B$12,(IF(B$16="Single project",'Cost Data'!C$54,IF(B$16="Group of projects",'Cost Data'!D$54,0))),0)</f>
        <v>1882</v>
      </c>
      <c r="R101" s="703">
        <f t="shared" si="2"/>
        <v>2982</v>
      </c>
      <c r="S101" s="704">
        <f t="shared" si="5"/>
        <v>8546</v>
      </c>
      <c r="U101" s="698">
        <f t="shared" si="3"/>
        <v>15</v>
      </c>
      <c r="V101" s="500">
        <f>IF($U101&lt;='Data Entry'!$B$12,H101-R101,0)</f>
        <v>-2982</v>
      </c>
      <c r="W101" s="705">
        <f>IF($U101&lt;='Data Entry'!$B$12,I101-S101,0)</f>
        <v>-8546</v>
      </c>
      <c r="AA101" s="775"/>
    </row>
    <row r="102" spans="1:27" s="8" customFormat="1" ht="15" customHeight="1" x14ac:dyDescent="0.2">
      <c r="A102" s="66">
        <v>25</v>
      </c>
      <c r="B102" s="67">
        <v>49766</v>
      </c>
      <c r="C102" s="67">
        <v>53417</v>
      </c>
      <c r="D102" s="68">
        <v>0</v>
      </c>
      <c r="E102" s="68">
        <v>0</v>
      </c>
      <c r="F102" s="763">
        <v>0</v>
      </c>
      <c r="G102" s="756"/>
      <c r="H102" s="710">
        <f>$F102*'Income Data'!$K$5</f>
        <v>0</v>
      </c>
      <c r="I102" s="711">
        <f>SUM(H$100:H102)</f>
        <v>0</v>
      </c>
      <c r="J102" s="712"/>
      <c r="L102" s="698">
        <f t="shared" si="4"/>
        <v>25</v>
      </c>
      <c r="M102" s="699"/>
      <c r="N102" s="699">
        <f>IF($B$16="Single project",MAX(100,F102*'Cost Data'!$C$58),MAX(100/7,F102*'Cost Data'!$C$58))</f>
        <v>100</v>
      </c>
      <c r="O102" s="700">
        <f>IF(A102&lt;=B$12,IF(B$16="Single project",'Cost Data'!C$53,(IF(B$16="Group of projects",'Cost Data'!D$53,0))),0)</f>
        <v>500</v>
      </c>
      <c r="P102" s="701">
        <f>IF(A102&lt;=B$12,IF(B$17="Yes",'Cost Data'!E$60,IF(B$9&lt;=50,'Cost Data'!D$60,'Cost Data'!C$60)),0)</f>
        <v>500</v>
      </c>
      <c r="Q102" s="709">
        <f>IF(A102&lt;=B$12,(IF(B$16="Single project",'Cost Data'!C$54,IF(B$16="Group of projects",'Cost Data'!D$54,0))),0)</f>
        <v>1882</v>
      </c>
      <c r="R102" s="703">
        <f t="shared" si="2"/>
        <v>2982</v>
      </c>
      <c r="S102" s="704">
        <f t="shared" si="5"/>
        <v>11528</v>
      </c>
      <c r="U102" s="698">
        <f t="shared" si="3"/>
        <v>25</v>
      </c>
      <c r="V102" s="500">
        <f>IF($U102&lt;='Data Entry'!$B$12,H102-R102,0)</f>
        <v>-2982</v>
      </c>
      <c r="W102" s="705">
        <f>IF($U102&lt;='Data Entry'!$B$12,I102-S102,0)</f>
        <v>-11528</v>
      </c>
      <c r="AA102" s="775"/>
    </row>
    <row r="103" spans="1:27" s="8" customFormat="1" ht="15" customHeight="1" x14ac:dyDescent="0.2">
      <c r="A103" s="66">
        <v>35</v>
      </c>
      <c r="B103" s="67">
        <v>53418</v>
      </c>
      <c r="C103" s="67">
        <v>57070</v>
      </c>
      <c r="D103" s="68">
        <v>0</v>
      </c>
      <c r="E103" s="68">
        <v>0</v>
      </c>
      <c r="F103" s="763">
        <v>0</v>
      </c>
      <c r="G103" s="756"/>
      <c r="H103" s="710">
        <f>$F103*'Income Data'!$K$5</f>
        <v>0</v>
      </c>
      <c r="I103" s="711">
        <f>SUM(H$100:H103)</f>
        <v>0</v>
      </c>
      <c r="J103" s="712"/>
      <c r="L103" s="698">
        <f t="shared" si="4"/>
        <v>35</v>
      </c>
      <c r="M103" s="699"/>
      <c r="N103" s="699">
        <f>IF($B$16="Single project",MAX(100,F103*'Cost Data'!$C$58),MAX(100/7,F103*'Cost Data'!$C$58))</f>
        <v>100</v>
      </c>
      <c r="O103" s="700">
        <f>IF(A103&lt;=B$12,IF(B$16="Single project",'Cost Data'!C$53,(IF(B$16="Group of projects",'Cost Data'!D$53,0))),0)</f>
        <v>500</v>
      </c>
      <c r="P103" s="701">
        <f>IF(A103&lt;=B$12,IF(B$17="Yes",'Cost Data'!E$60,IF(B$9&lt;=50,'Cost Data'!D$60,'Cost Data'!C$60)),0)</f>
        <v>500</v>
      </c>
      <c r="Q103" s="709">
        <f>IF(A103&lt;=B$12,(IF(B$16="Single project",'Cost Data'!C$54,IF(B$16="Group of projects",'Cost Data'!D$54,0))),0)</f>
        <v>1882</v>
      </c>
      <c r="R103" s="703">
        <f t="shared" si="2"/>
        <v>2982</v>
      </c>
      <c r="S103" s="704">
        <f t="shared" si="5"/>
        <v>14510</v>
      </c>
      <c r="U103" s="698">
        <f t="shared" si="3"/>
        <v>35</v>
      </c>
      <c r="V103" s="500">
        <f>IF($U103&lt;='Data Entry'!$B$12,H103-R103,0)</f>
        <v>-2982</v>
      </c>
      <c r="W103" s="705">
        <f>IF($U103&lt;='Data Entry'!$B$12,I103-S103,0)</f>
        <v>-14510</v>
      </c>
      <c r="AA103" s="775"/>
    </row>
    <row r="104" spans="1:27" s="8" customFormat="1" ht="15" customHeight="1" x14ac:dyDescent="0.2">
      <c r="A104" s="66">
        <v>45</v>
      </c>
      <c r="B104" s="67">
        <v>57071</v>
      </c>
      <c r="C104" s="67">
        <v>60722</v>
      </c>
      <c r="D104" s="68">
        <v>0</v>
      </c>
      <c r="E104" s="68">
        <v>0</v>
      </c>
      <c r="F104" s="763">
        <v>0</v>
      </c>
      <c r="G104" s="756"/>
      <c r="H104" s="710">
        <f>IF(A104&lt;=$B$12,$F104*'Income Data'!$K$5,0)</f>
        <v>0</v>
      </c>
      <c r="I104" s="711">
        <f>SUM(H$100:H104)</f>
        <v>0</v>
      </c>
      <c r="J104" s="712"/>
      <c r="L104" s="698">
        <f t="shared" si="4"/>
        <v>45</v>
      </c>
      <c r="M104" s="699"/>
      <c r="N104" s="699">
        <f>IF(A104&lt;=$B$12,IF($B$16="Single project",MAX(100,F104*'Cost Data'!$C$58),MAX(100/7,F104*'Cost Data'!$C$58)),0)</f>
        <v>100</v>
      </c>
      <c r="O104" s="700">
        <f>IF(A104&lt;=B$12,IF(B$16="Single project",'Cost Data'!C$53,(IF(B$16="Group of projects",'Cost Data'!D$53,0))),0)</f>
        <v>500</v>
      </c>
      <c r="P104" s="701">
        <f>IF(A104&lt;=B$12,IF(B$17="Yes",'Cost Data'!E$60,IF(B$9&lt;=50,'Cost Data'!D$60,'Cost Data'!C$60)),0)</f>
        <v>500</v>
      </c>
      <c r="Q104" s="709">
        <f>IF(A104&lt;=B$12,(IF(B$16="Single project",'Cost Data'!C$54,IF(B$16="Group of projects",'Cost Data'!D$54,0))),0)</f>
        <v>1882</v>
      </c>
      <c r="R104" s="703">
        <f t="shared" si="2"/>
        <v>2982</v>
      </c>
      <c r="S104" s="704">
        <f t="shared" si="5"/>
        <v>17492</v>
      </c>
      <c r="U104" s="698">
        <f t="shared" si="3"/>
        <v>45</v>
      </c>
      <c r="V104" s="500">
        <f>IF($U104&lt;='Data Entry'!$B$12,H104-R104,0)</f>
        <v>-2982</v>
      </c>
      <c r="W104" s="705">
        <f>IF($U104&lt;='Data Entry'!$B$12,I104-S104,0)</f>
        <v>-17492</v>
      </c>
      <c r="AA104" s="775"/>
    </row>
    <row r="105" spans="1:27" s="8" customFormat="1" ht="15" customHeight="1" x14ac:dyDescent="0.2">
      <c r="A105" s="66">
        <v>55</v>
      </c>
      <c r="B105" s="67">
        <v>60723</v>
      </c>
      <c r="C105" s="67">
        <v>64375</v>
      </c>
      <c r="D105" s="68">
        <v>0</v>
      </c>
      <c r="E105" s="68">
        <v>0</v>
      </c>
      <c r="F105" s="763">
        <v>0</v>
      </c>
      <c r="G105" s="756"/>
      <c r="H105" s="710">
        <f>IF(A105&lt;=$B$12,$F105*'Income Data'!$K$5,0)</f>
        <v>0</v>
      </c>
      <c r="I105" s="711">
        <f>SUM(H$100:H105)</f>
        <v>0</v>
      </c>
      <c r="J105" s="712"/>
      <c r="L105" s="698">
        <f t="shared" si="4"/>
        <v>55</v>
      </c>
      <c r="M105" s="699"/>
      <c r="N105" s="699">
        <f>IF(A105&lt;=$B$12,IF($B$16="Single project",MAX(100,F105*'Cost Data'!$C$58),MAX(100/7,F105*'Cost Data'!$C$58)),0)</f>
        <v>100</v>
      </c>
      <c r="O105" s="700">
        <f>IF(A105&lt;=B$12,IF(B$16="Single project",'Cost Data'!C$53,(IF(B$16="Group of projects",'Cost Data'!D$53,0))),0)</f>
        <v>500</v>
      </c>
      <c r="P105" s="701">
        <f>IF(A105&lt;=B$12,IF(B$17="Yes",'Cost Data'!E$60,IF(B$9&lt;=50,'Cost Data'!D$60,'Cost Data'!C$60)),0)</f>
        <v>500</v>
      </c>
      <c r="Q105" s="709">
        <f>IF(A105&lt;=B$12,(IF(B$16="Single project",'Cost Data'!C$54,IF(B$16="Group of projects",'Cost Data'!D$54,0))),0)</f>
        <v>1882</v>
      </c>
      <c r="R105" s="703">
        <f t="shared" si="2"/>
        <v>2982</v>
      </c>
      <c r="S105" s="704">
        <f t="shared" si="5"/>
        <v>20474</v>
      </c>
      <c r="U105" s="698">
        <f t="shared" si="3"/>
        <v>55</v>
      </c>
      <c r="V105" s="500">
        <f>IF($U105&lt;='Data Entry'!$B$12,H105-R105,0)</f>
        <v>-2982</v>
      </c>
      <c r="W105" s="705">
        <f>IF($U105&lt;='Data Entry'!$B$12,I105-S105,0)</f>
        <v>-20474</v>
      </c>
      <c r="AA105" s="775"/>
    </row>
    <row r="106" spans="1:27" s="8" customFormat="1" ht="15" customHeight="1" x14ac:dyDescent="0.2">
      <c r="A106" s="66">
        <v>65</v>
      </c>
      <c r="B106" s="67">
        <v>64376</v>
      </c>
      <c r="C106" s="67">
        <v>68027</v>
      </c>
      <c r="D106" s="68">
        <v>0</v>
      </c>
      <c r="E106" s="68">
        <v>0</v>
      </c>
      <c r="F106" s="763">
        <v>0</v>
      </c>
      <c r="G106" s="756"/>
      <c r="H106" s="710">
        <f>IF(A106&lt;=$B$12,$F106*'Income Data'!$K$5,0)</f>
        <v>0</v>
      </c>
      <c r="I106" s="711">
        <f>SUM(H$100:H106)</f>
        <v>0</v>
      </c>
      <c r="J106" s="712"/>
      <c r="L106" s="698">
        <f t="shared" si="4"/>
        <v>65</v>
      </c>
      <c r="M106" s="699"/>
      <c r="N106" s="699">
        <f>IF(A106&lt;=$B$12,IF($B$16="Single project",MAX(100,F106*'Cost Data'!$C$58),MAX(100/7,F106*'Cost Data'!$C$58)),0)</f>
        <v>100</v>
      </c>
      <c r="O106" s="700">
        <f>IF(A106&lt;=B$12,IF(B$16="Single project",'Cost Data'!C$53,(IF(B$16="Group of projects",'Cost Data'!D$53,0))),0)</f>
        <v>500</v>
      </c>
      <c r="P106" s="701">
        <f>IF(A106&lt;=B$12,IF(B$17="Yes",'Cost Data'!E$60,IF(B$9&lt;=50,'Cost Data'!D$60,'Cost Data'!C$60)),0)</f>
        <v>500</v>
      </c>
      <c r="Q106" s="709">
        <f>IF(A106&lt;=B$12,(IF(B$16="Single project",'Cost Data'!C$54,IF(B$16="Group of projects",'Cost Data'!D$54,0))),0)</f>
        <v>1882</v>
      </c>
      <c r="R106" s="703">
        <f t="shared" si="2"/>
        <v>2982</v>
      </c>
      <c r="S106" s="704">
        <f t="shared" si="5"/>
        <v>23456</v>
      </c>
      <c r="U106" s="698">
        <f t="shared" si="3"/>
        <v>65</v>
      </c>
      <c r="V106" s="500">
        <f>IF($U106&lt;='Data Entry'!$B$12,H106-R106,0)</f>
        <v>-2982</v>
      </c>
      <c r="W106" s="705">
        <f>IF($U106&lt;='Data Entry'!$B$12,I106-S106,0)</f>
        <v>-23456</v>
      </c>
      <c r="AA106" s="775"/>
    </row>
    <row r="107" spans="1:27" s="8" customFormat="1" ht="15" customHeight="1" x14ac:dyDescent="0.2">
      <c r="A107" s="66">
        <v>75</v>
      </c>
      <c r="B107" s="67">
        <v>68028</v>
      </c>
      <c r="C107" s="67">
        <v>71680</v>
      </c>
      <c r="D107" s="68">
        <v>0</v>
      </c>
      <c r="E107" s="68">
        <v>0</v>
      </c>
      <c r="F107" s="763">
        <v>0</v>
      </c>
      <c r="G107" s="756"/>
      <c r="H107" s="710">
        <f>IF(A107&lt;=$B$12,$F107*'Income Data'!$K$5,0)</f>
        <v>0</v>
      </c>
      <c r="I107" s="711">
        <f>SUM(H$100:H107)</f>
        <v>0</v>
      </c>
      <c r="J107" s="712"/>
      <c r="L107" s="698">
        <f t="shared" si="4"/>
        <v>75</v>
      </c>
      <c r="M107" s="699"/>
      <c r="N107" s="699">
        <f>IF(A107&lt;=$B$12,IF($B$16="Single project",MAX(100,F107*'Cost Data'!$C$58),MAX(100/7,F107*'Cost Data'!$C$58)),0)</f>
        <v>100</v>
      </c>
      <c r="O107" s="700">
        <f>IF(A107&lt;=B$12,IF(B$16="Single project",'Cost Data'!C$53,(IF(B$16="Group of projects",'Cost Data'!D$53,0))),0)</f>
        <v>500</v>
      </c>
      <c r="P107" s="701">
        <f>IF(A107&lt;=B$12,IF(B$17="Yes",'Cost Data'!E$60,IF(B$9&lt;=50,'Cost Data'!D$60,'Cost Data'!C$60)),0)</f>
        <v>500</v>
      </c>
      <c r="Q107" s="709">
        <f>IF(A107&lt;=B$12,(IF(B$16="Single project",'Cost Data'!C$54,IF(B$16="Group of projects",'Cost Data'!D$54,0))),0)</f>
        <v>1882</v>
      </c>
      <c r="R107" s="703">
        <f t="shared" si="2"/>
        <v>2982</v>
      </c>
      <c r="S107" s="704">
        <f t="shared" si="5"/>
        <v>26438</v>
      </c>
      <c r="U107" s="698">
        <f t="shared" si="3"/>
        <v>75</v>
      </c>
      <c r="V107" s="500">
        <f>IF($U107&lt;='Data Entry'!$B$12,H107-R107,0)</f>
        <v>-2982</v>
      </c>
      <c r="W107" s="705">
        <f>IF($U107&lt;='Data Entry'!$B$12,I107-S107,0)</f>
        <v>-26438</v>
      </c>
      <c r="AA107" s="775"/>
    </row>
    <row r="108" spans="1:27" s="8" customFormat="1" ht="15" customHeight="1" x14ac:dyDescent="0.2">
      <c r="A108" s="66">
        <v>85</v>
      </c>
      <c r="B108" s="67">
        <v>71681</v>
      </c>
      <c r="C108" s="67">
        <v>75331</v>
      </c>
      <c r="D108" s="68">
        <v>0</v>
      </c>
      <c r="E108" s="68">
        <v>0</v>
      </c>
      <c r="F108" s="763">
        <v>0</v>
      </c>
      <c r="G108" s="756"/>
      <c r="H108" s="710">
        <f>IF(A108&lt;=$B$12,$F108*'Income Data'!$K$5,0)</f>
        <v>0</v>
      </c>
      <c r="I108" s="711">
        <f>SUM(H$100:H108)</f>
        <v>0</v>
      </c>
      <c r="J108" s="712"/>
      <c r="L108" s="698">
        <f t="shared" si="4"/>
        <v>85</v>
      </c>
      <c r="M108" s="699"/>
      <c r="N108" s="699">
        <f>IF(A108&lt;=$B$12,IF($B$16="Single project",MAX(100,F108*'Cost Data'!$C$58),MAX(100/7,F108*'Cost Data'!$C$58)),0)</f>
        <v>100</v>
      </c>
      <c r="O108" s="700">
        <f>IF(A108&lt;=B$12,IF(B$16="Single project",'Cost Data'!C$53,(IF(B$16="Group of projects",'Cost Data'!D$53,0))),0)</f>
        <v>500</v>
      </c>
      <c r="P108" s="701">
        <f>IF(A108&lt;=B$12,IF(B$17="Yes",'Cost Data'!E$60,IF(B$9&lt;=50,'Cost Data'!D$60,'Cost Data'!C$60)),0)</f>
        <v>500</v>
      </c>
      <c r="Q108" s="709">
        <f>IF(A108&lt;=B$12,(IF(B$16="Single project",'Cost Data'!C$54,IF(B$16="Group of projects",'Cost Data'!D$54,0))),0)</f>
        <v>1882</v>
      </c>
      <c r="R108" s="703">
        <f t="shared" si="2"/>
        <v>2982</v>
      </c>
      <c r="S108" s="704">
        <f t="shared" si="5"/>
        <v>29420</v>
      </c>
      <c r="U108" s="698">
        <f t="shared" si="3"/>
        <v>85</v>
      </c>
      <c r="V108" s="500">
        <f>IF($U108&lt;='Data Entry'!$B$12,H108-R108,0)</f>
        <v>-2982</v>
      </c>
      <c r="W108" s="705">
        <f>IF($U108&lt;='Data Entry'!$B$12,I108-S108,0)</f>
        <v>-29420</v>
      </c>
      <c r="AA108" s="775"/>
    </row>
    <row r="109" spans="1:27" s="8" customFormat="1" ht="15" customHeight="1" x14ac:dyDescent="0.2">
      <c r="A109" s="69">
        <v>95</v>
      </c>
      <c r="B109" s="67">
        <v>75332</v>
      </c>
      <c r="C109" s="67">
        <v>78984</v>
      </c>
      <c r="D109" s="70">
        <v>0</v>
      </c>
      <c r="E109" s="68">
        <v>0</v>
      </c>
      <c r="F109" s="763">
        <v>0</v>
      </c>
      <c r="G109" s="756"/>
      <c r="H109" s="710">
        <f>IF(A109&lt;=$B$12,$F109*'Income Data'!$K$5,0)</f>
        <v>0</v>
      </c>
      <c r="I109" s="711">
        <f>SUM(H$100:H109)</f>
        <v>0</v>
      </c>
      <c r="J109" s="712"/>
      <c r="L109" s="698">
        <f t="shared" si="4"/>
        <v>95</v>
      </c>
      <c r="M109" s="699"/>
      <c r="N109" s="699">
        <f>IF(A109&lt;=$B$12,IF($B$16="Single project",MAX(100,F109*'Cost Data'!$C$58),MAX(100/7,F109*'Cost Data'!$C$58)),0)</f>
        <v>100</v>
      </c>
      <c r="O109" s="700">
        <f>IF(A109&lt;=B$12,IF(B$16="Single project",'Cost Data'!C$53,(IF(B$16="Group of projects",'Cost Data'!D$53,0))),0)</f>
        <v>500</v>
      </c>
      <c r="P109" s="701">
        <f>IF(A109&lt;=B$12,IF(B$17="Yes",'Cost Data'!E$60,IF(B$9&lt;=50,'Cost Data'!D$60,'Cost Data'!C$60)),0)</f>
        <v>500</v>
      </c>
      <c r="Q109" s="709">
        <f>IF(A109&lt;=B$12,(IF(B$16="Single project",'Cost Data'!C$54,IF(B$16="Group of projects",'Cost Data'!D$54,0))),0)</f>
        <v>1882</v>
      </c>
      <c r="R109" s="703">
        <f t="shared" si="2"/>
        <v>2982</v>
      </c>
      <c r="S109" s="704">
        <f t="shared" si="5"/>
        <v>32402</v>
      </c>
      <c r="U109" s="698">
        <f t="shared" si="3"/>
        <v>95</v>
      </c>
      <c r="V109" s="500">
        <f>IF($U109&lt;='Data Entry'!$B$12,H109-R109,0)</f>
        <v>-2982</v>
      </c>
      <c r="W109" s="705">
        <f>IF($U109&lt;='Data Entry'!$B$12,I109-S109,0)</f>
        <v>-32402</v>
      </c>
      <c r="AA109" s="775"/>
    </row>
    <row r="110" spans="1:27" s="8" customFormat="1" ht="15" customHeight="1" thickBot="1" x14ac:dyDescent="0.25">
      <c r="A110" s="71">
        <v>100</v>
      </c>
      <c r="B110" s="72">
        <v>78985</v>
      </c>
      <c r="C110" s="72">
        <v>80810</v>
      </c>
      <c r="D110" s="73">
        <v>0</v>
      </c>
      <c r="E110" s="73">
        <v>0</v>
      </c>
      <c r="F110" s="764">
        <v>0</v>
      </c>
      <c r="G110" s="756"/>
      <c r="H110" s="710">
        <f>IF(A110&lt;=$B$12,$F110*'Income Data'!$K$5,0)</f>
        <v>0</v>
      </c>
      <c r="I110" s="713">
        <f>SUM(H$100:H110)</f>
        <v>0</v>
      </c>
      <c r="J110" s="714"/>
      <c r="L110" s="698">
        <f t="shared" si="4"/>
        <v>100</v>
      </c>
      <c r="M110" s="699"/>
      <c r="N110" s="699">
        <f>IF(A110&lt;=$B$12,IF($B$16="Single project",MAX(100,F110*'Cost Data'!$C$58),MAX(100/7,F110*'Cost Data'!$C$58)),0)</f>
        <v>100</v>
      </c>
      <c r="O110" s="700">
        <f>IF(A110&lt;=B$12,IF(B$16="Single project",'Cost Data'!C$53,(IF(B$16="Group of projects",'Cost Data'!D$53,0))),0)</f>
        <v>500</v>
      </c>
      <c r="P110" s="701">
        <f>IF(A110&lt;=B$12,IF(B$17="Yes",'Cost Data'!E$60,IF(B$9&lt;=50,'Cost Data'!D$60,'Cost Data'!C$60)),0)</f>
        <v>500</v>
      </c>
      <c r="Q110" s="709">
        <f>IF(A110&lt;=B$12,(IF(B$16="Single project",'Cost Data'!C$54,IF(B$16="Group of projects",'Cost Data'!D$54,0))),0)</f>
        <v>1882</v>
      </c>
      <c r="R110" s="703">
        <f t="shared" si="2"/>
        <v>2982</v>
      </c>
      <c r="S110" s="704">
        <f t="shared" si="5"/>
        <v>35384</v>
      </c>
      <c r="U110" s="698">
        <f t="shared" si="3"/>
        <v>100</v>
      </c>
      <c r="V110" s="500">
        <f>IF($U110&lt;='Data Entry'!$B$12,H110-R110,0)</f>
        <v>-2982</v>
      </c>
      <c r="W110" s="705">
        <f>IF($U110&lt;='Data Entry'!$B$12,I110-S110,0)</f>
        <v>-35384</v>
      </c>
      <c r="AA110" s="775"/>
    </row>
    <row r="111" spans="1:27" s="8" customFormat="1" ht="15" customHeight="1" thickBot="1" x14ac:dyDescent="0.25">
      <c r="A111" s="232" t="s">
        <v>12</v>
      </c>
      <c r="B111" s="78"/>
      <c r="C111" s="78"/>
      <c r="D111" s="79">
        <v>0</v>
      </c>
      <c r="E111" s="79">
        <v>0</v>
      </c>
      <c r="F111" s="79">
        <v>0</v>
      </c>
      <c r="G111" s="757"/>
      <c r="H111" s="715">
        <f>SUM(H100:H110)</f>
        <v>0</v>
      </c>
      <c r="I111" s="716">
        <f>I110</f>
        <v>0</v>
      </c>
      <c r="J111" s="716">
        <f>I111</f>
        <v>0</v>
      </c>
      <c r="L111" s="717" t="str">
        <f t="shared" si="4"/>
        <v>Total</v>
      </c>
      <c r="M111" s="718">
        <f t="shared" ref="M111:R111" si="6">SUM(M99:M110)</f>
        <v>0</v>
      </c>
      <c r="N111" s="718">
        <f t="shared" si="6"/>
        <v>1100</v>
      </c>
      <c r="O111" s="718">
        <f t="shared" si="6"/>
        <v>6800</v>
      </c>
      <c r="P111" s="718">
        <f t="shared" si="6"/>
        <v>5500</v>
      </c>
      <c r="Q111" s="718">
        <f t="shared" si="6"/>
        <v>21984</v>
      </c>
      <c r="R111" s="719">
        <f t="shared" si="6"/>
        <v>35384</v>
      </c>
      <c r="S111" s="720">
        <f>S110</f>
        <v>35384</v>
      </c>
      <c r="U111" s="721" t="str">
        <f t="shared" si="3"/>
        <v>Total</v>
      </c>
      <c r="V111" s="722">
        <f>SUM(V99:V110)</f>
        <v>-35384</v>
      </c>
      <c r="W111" s="723"/>
      <c r="AA111" s="775"/>
    </row>
    <row r="112" spans="1:27" s="8" customFormat="1" ht="13.5" thickBot="1" x14ac:dyDescent="0.25">
      <c r="A112" s="916"/>
      <c r="B112" s="889"/>
      <c r="C112" s="1035" t="s">
        <v>611</v>
      </c>
      <c r="D112" s="1036"/>
      <c r="E112" s="1036"/>
      <c r="F112" s="1037"/>
      <c r="G112" s="758"/>
      <c r="H112" s="7"/>
      <c r="V112" s="724"/>
      <c r="AA112" s="775"/>
    </row>
    <row r="113" spans="1:27" s="8" customFormat="1" ht="27" thickTop="1" thickBot="1" x14ac:dyDescent="0.25">
      <c r="A113" s="917" t="s">
        <v>495</v>
      </c>
      <c r="B113" s="915"/>
      <c r="C113" s="915"/>
      <c r="D113" s="915"/>
      <c r="E113" s="915"/>
      <c r="F113" s="915"/>
      <c r="G113" s="754"/>
      <c r="L113" s="24" t="s">
        <v>31</v>
      </c>
      <c r="M113" s="25" t="s">
        <v>27</v>
      </c>
      <c r="N113" s="25" t="s">
        <v>28</v>
      </c>
      <c r="O113" s="18" t="s">
        <v>408</v>
      </c>
      <c r="P113" s="25" t="s">
        <v>16</v>
      </c>
      <c r="Q113" s="26" t="s">
        <v>29</v>
      </c>
      <c r="R113" s="27" t="s">
        <v>38</v>
      </c>
      <c r="S113" s="28" t="s">
        <v>39</v>
      </c>
      <c r="U113" s="21" t="s">
        <v>31</v>
      </c>
      <c r="V113" s="22" t="s">
        <v>36</v>
      </c>
      <c r="W113" s="23" t="s">
        <v>37</v>
      </c>
      <c r="AA113" s="775"/>
    </row>
    <row r="114" spans="1:27" s="8" customFormat="1" ht="51.75" thickBot="1" x14ac:dyDescent="0.25">
      <c r="A114" s="221" t="s">
        <v>21</v>
      </c>
      <c r="B114" s="222" t="s">
        <v>22</v>
      </c>
      <c r="C114" s="222" t="s">
        <v>23</v>
      </c>
      <c r="D114" s="222" t="s">
        <v>44</v>
      </c>
      <c r="E114" s="222" t="s">
        <v>45</v>
      </c>
      <c r="F114" s="222" t="s">
        <v>46</v>
      </c>
      <c r="G114" s="755"/>
      <c r="H114" s="13" t="s">
        <v>466</v>
      </c>
      <c r="I114" s="10" t="s">
        <v>467</v>
      </c>
      <c r="J114" s="10" t="s">
        <v>467</v>
      </c>
      <c r="L114" s="726">
        <v>0</v>
      </c>
      <c r="M114" s="699">
        <f>('Cost Data'!C56+'Cost Data'!C57)*F128</f>
        <v>0</v>
      </c>
      <c r="N114" s="699"/>
      <c r="O114" s="700">
        <f>IF(B$16="Single project",SUM('Cost Data'!C$48:C$49),(IF(B$16="Group of projects",SUM('Cost Data'!D$48:D$49),0)))</f>
        <v>1300</v>
      </c>
      <c r="P114" s="701"/>
      <c r="Q114" s="702">
        <f>IF(B$16="Single project",'Cost Data'!C$50,IF(B$16="Group of projects",'Cost Data'!D$50,0))</f>
        <v>1282</v>
      </c>
      <c r="R114" s="727">
        <f>SUM(M114:Q114)</f>
        <v>2582</v>
      </c>
      <c r="S114" s="728">
        <f>R114</f>
        <v>2582</v>
      </c>
      <c r="U114" s="698">
        <v>0</v>
      </c>
      <c r="V114" s="500">
        <f>-R114</f>
        <v>-2582</v>
      </c>
      <c r="W114" s="705">
        <f>-R114</f>
        <v>-2582</v>
      </c>
      <c r="AA114" s="775"/>
    </row>
    <row r="115" spans="1:27" s="8" customFormat="1" ht="15" customHeight="1" x14ac:dyDescent="0.2">
      <c r="A115" s="63">
        <v>5</v>
      </c>
      <c r="B115" s="64">
        <v>44287</v>
      </c>
      <c r="C115" s="64">
        <v>46112</v>
      </c>
      <c r="D115" s="65">
        <v>0</v>
      </c>
      <c r="E115" s="65">
        <v>0</v>
      </c>
      <c r="F115" s="762">
        <v>0</v>
      </c>
      <c r="G115" s="756"/>
      <c r="H115" s="180">
        <f>F115*'Income Data'!K$5</f>
        <v>0</v>
      </c>
      <c r="I115" s="179">
        <f>SUM(H$115:H115)</f>
        <v>0</v>
      </c>
      <c r="J115" s="179"/>
      <c r="L115" s="726">
        <f t="shared" ref="L115:L127" si="7">A115</f>
        <v>5</v>
      </c>
      <c r="M115" s="699"/>
      <c r="N115" s="699">
        <f>IF($B$16="Single project",MAX(100,F115*'Cost Data'!$C$58),MAX(100/7,F115*'Cost Data'!$C$58))</f>
        <v>100</v>
      </c>
      <c r="O115" s="700">
        <f>IF(B$16="Single project",'Cost Data'!C$51,(IF(B$16="Group of projects",'Cost Data'!D$51,0)))</f>
        <v>500</v>
      </c>
      <c r="P115" s="701">
        <f>IF(B$17="Yes",'Cost Data'!E$60,IF(B$9&lt;=50,'Cost Data'!D$60,'Cost Data'!C$60))</f>
        <v>500</v>
      </c>
      <c r="Q115" s="709">
        <f>IF(B$16="Single project",'Cost Data'!C$52,IF(B$16="Group of projects",'Cost Data'!D$52,0))</f>
        <v>1882</v>
      </c>
      <c r="R115" s="727">
        <f>SUM(M115:Q115)</f>
        <v>2982</v>
      </c>
      <c r="S115" s="728">
        <f>S114+R115</f>
        <v>5564</v>
      </c>
      <c r="U115" s="698">
        <f t="shared" ref="U115:U126" si="8">L115</f>
        <v>5</v>
      </c>
      <c r="V115" s="500">
        <f t="shared" ref="V115:W118" si="9">H115-R115</f>
        <v>-2982</v>
      </c>
      <c r="W115" s="705">
        <f t="shared" si="9"/>
        <v>-5564</v>
      </c>
      <c r="AA115" s="775"/>
    </row>
    <row r="116" spans="1:27" s="8" customFormat="1" ht="15" customHeight="1" x14ac:dyDescent="0.2">
      <c r="A116" s="66">
        <v>15</v>
      </c>
      <c r="B116" s="67">
        <v>46113</v>
      </c>
      <c r="C116" s="67">
        <v>49765</v>
      </c>
      <c r="D116" s="68">
        <v>0</v>
      </c>
      <c r="E116" s="68">
        <v>0</v>
      </c>
      <c r="F116" s="763">
        <v>0</v>
      </c>
      <c r="G116" s="756"/>
      <c r="H116" s="180">
        <f>F116*'Income Data'!K$5</f>
        <v>0</v>
      </c>
      <c r="I116" s="180">
        <f>SUM(H$115:H116)</f>
        <v>0</v>
      </c>
      <c r="J116" s="180"/>
      <c r="L116" s="726">
        <f t="shared" si="7"/>
        <v>15</v>
      </c>
      <c r="M116" s="699"/>
      <c r="N116" s="699">
        <f>IF($B$16="Single project",MAX(100,F116*'Cost Data'!$C$58),MAX(100/7,F116*'Cost Data'!$C$58))</f>
        <v>100</v>
      </c>
      <c r="O116" s="700">
        <f>IF(A116&lt;=B$12,IF(B$16="Single project",'Cost Data'!C$53,(IF(B$16="Group of projects",'Cost Data'!D$53,0))),0)</f>
        <v>500</v>
      </c>
      <c r="P116" s="701">
        <f>IF(A116&lt;=B$12,IF(B$17="Yes",'Cost Data'!E$60,IF(B$9&lt;=50,'Cost Data'!D$60,'Cost Data'!C$60)),0)</f>
        <v>500</v>
      </c>
      <c r="Q116" s="709">
        <f>IF(A116&lt;=B$12,(IF(B$16="Single project",'Cost Data'!C$54,IF(B$16="Group of projects",'Cost Data'!D$54,0))),0)</f>
        <v>1882</v>
      </c>
      <c r="R116" s="727">
        <f>SUM(M116:Q116)</f>
        <v>2982</v>
      </c>
      <c r="S116" s="728">
        <f>S115+R116</f>
        <v>8546</v>
      </c>
      <c r="U116" s="698">
        <f t="shared" si="8"/>
        <v>15</v>
      </c>
      <c r="V116" s="500">
        <f t="shared" si="9"/>
        <v>-2982</v>
      </c>
      <c r="W116" s="705">
        <f t="shared" si="9"/>
        <v>-8546</v>
      </c>
      <c r="AA116" s="775"/>
    </row>
    <row r="117" spans="1:27" s="8" customFormat="1" ht="15" customHeight="1" x14ac:dyDescent="0.2">
      <c r="A117" s="66">
        <v>25</v>
      </c>
      <c r="B117" s="67">
        <v>49766</v>
      </c>
      <c r="C117" s="67">
        <v>53417</v>
      </c>
      <c r="D117" s="68">
        <v>0</v>
      </c>
      <c r="E117" s="68">
        <v>0</v>
      </c>
      <c r="F117" s="763">
        <v>0</v>
      </c>
      <c r="G117" s="756"/>
      <c r="H117" s="180">
        <f>F117*'Income Data'!K$5</f>
        <v>0</v>
      </c>
      <c r="I117" s="180">
        <f>SUM(H$115:H117)</f>
        <v>0</v>
      </c>
      <c r="J117" s="180"/>
      <c r="L117" s="726">
        <f t="shared" si="7"/>
        <v>25</v>
      </c>
      <c r="M117" s="699"/>
      <c r="N117" s="699">
        <f>IF($B$16="Single project",MAX(100,F117*'Cost Data'!$C$58),MAX(100/7,F117*'Cost Data'!$C$58))</f>
        <v>100</v>
      </c>
      <c r="O117" s="700">
        <f>IF(A117&lt;=B$12,IF(B$16="Single project",'Cost Data'!C$53,(IF(B$16="Group of projects",'Cost Data'!D$53,0))),0)</f>
        <v>500</v>
      </c>
      <c r="P117" s="701">
        <f>IF(A117&lt;=B$12,IF(B$17="Yes",'Cost Data'!E$60,IF(B$9&lt;=50,'Cost Data'!D$60,'Cost Data'!C$60)),0)</f>
        <v>500</v>
      </c>
      <c r="Q117" s="709">
        <f>IF(A117&lt;=B$12,(IF(B$16="Single project",'Cost Data'!C$54,IF(B$16="Group of projects",'Cost Data'!D$54,0))),0)</f>
        <v>1882</v>
      </c>
      <c r="R117" s="727">
        <f>SUM(M117:Q117)</f>
        <v>2982</v>
      </c>
      <c r="S117" s="728">
        <f>S116+R117</f>
        <v>11528</v>
      </c>
      <c r="U117" s="698">
        <f t="shared" si="8"/>
        <v>25</v>
      </c>
      <c r="V117" s="500">
        <f t="shared" si="9"/>
        <v>-2982</v>
      </c>
      <c r="W117" s="705">
        <f t="shared" si="9"/>
        <v>-11528</v>
      </c>
      <c r="AA117" s="775"/>
    </row>
    <row r="118" spans="1:27" s="8" customFormat="1" ht="15" customHeight="1" thickBot="1" x14ac:dyDescent="0.25">
      <c r="A118" s="74">
        <v>35</v>
      </c>
      <c r="B118" s="72">
        <v>53418</v>
      </c>
      <c r="C118" s="75">
        <v>57070</v>
      </c>
      <c r="D118" s="76">
        <v>0</v>
      </c>
      <c r="E118" s="76">
        <v>0</v>
      </c>
      <c r="F118" s="763">
        <v>0</v>
      </c>
      <c r="G118" s="756"/>
      <c r="H118" s="180">
        <f>F118*'Income Data'!K$5</f>
        <v>0</v>
      </c>
      <c r="I118" s="180">
        <f>SUM(H$115:H118)</f>
        <v>0</v>
      </c>
      <c r="J118" s="180"/>
      <c r="L118" s="726">
        <f t="shared" si="7"/>
        <v>35</v>
      </c>
      <c r="M118" s="699"/>
      <c r="N118" s="699">
        <f>IF($B$16="Single project",MAX(100,F118*'Cost Data'!$C$58),MAX(100/7,F118*'Cost Data'!$C$58))</f>
        <v>100</v>
      </c>
      <c r="O118" s="700">
        <f>IF(A118&lt;=B$12,IF(B$16="Single project",'Cost Data'!C$53,(IF(B$16="Group of projects",'Cost Data'!D$53,0))),0)</f>
        <v>500</v>
      </c>
      <c r="P118" s="701">
        <f>IF(A118&lt;=B$12,IF(B$17="Yes",'Cost Data'!E$60,IF(B$9&lt;=50,'Cost Data'!D$60,'Cost Data'!C$60)),0)</f>
        <v>500</v>
      </c>
      <c r="Q118" s="709">
        <f>IF(A118&lt;=B$12,(IF(B$16="Single project",'Cost Data'!C$54,IF(B$16="Group of projects",'Cost Data'!D$54,0))),0)</f>
        <v>1882</v>
      </c>
      <c r="R118" s="727">
        <f>SUM(M118:Q118)</f>
        <v>2982</v>
      </c>
      <c r="S118" s="728">
        <f>S117+R118</f>
        <v>14510</v>
      </c>
      <c r="U118" s="698">
        <f t="shared" si="8"/>
        <v>35</v>
      </c>
      <c r="V118" s="500">
        <f t="shared" si="9"/>
        <v>-2982</v>
      </c>
      <c r="W118" s="705">
        <f t="shared" si="9"/>
        <v>-14510</v>
      </c>
      <c r="AA118" s="775"/>
    </row>
    <row r="119" spans="1:27" s="8" customFormat="1" ht="15" customHeight="1" thickBot="1" x14ac:dyDescent="0.25">
      <c r="A119" s="224" t="s">
        <v>24</v>
      </c>
      <c r="B119" s="229"/>
      <c r="C119" s="230"/>
      <c r="D119" s="77">
        <v>0</v>
      </c>
      <c r="E119" s="77">
        <v>0</v>
      </c>
      <c r="F119" s="77">
        <v>0</v>
      </c>
      <c r="G119" s="759"/>
      <c r="H119" s="15">
        <f>SUM(H115:H118)</f>
        <v>0</v>
      </c>
      <c r="I119" s="9">
        <f>I118</f>
        <v>0</v>
      </c>
      <c r="J119" s="9">
        <f>J118</f>
        <v>0</v>
      </c>
      <c r="K119" s="729"/>
      <c r="L119" s="730" t="str">
        <f t="shared" si="7"/>
        <v>Subtotal - claimable under WCaG to f/y 2055/56</v>
      </c>
      <c r="M119" s="731">
        <f t="shared" ref="M119:R119" si="10">SUM(M114:M118)</f>
        <v>0</v>
      </c>
      <c r="N119" s="731">
        <f t="shared" si="10"/>
        <v>400</v>
      </c>
      <c r="O119" s="731">
        <f t="shared" si="10"/>
        <v>3300</v>
      </c>
      <c r="P119" s="731">
        <f t="shared" si="10"/>
        <v>2000</v>
      </c>
      <c r="Q119" s="732">
        <f t="shared" si="10"/>
        <v>8810</v>
      </c>
      <c r="R119" s="733">
        <f t="shared" si="10"/>
        <v>14510</v>
      </c>
      <c r="S119" s="734">
        <f>S118</f>
        <v>14510</v>
      </c>
      <c r="T119" s="729"/>
      <c r="U119" s="735" t="str">
        <f t="shared" si="8"/>
        <v>Subtotal - claimable under WCaG to f/y 2055/56</v>
      </c>
      <c r="V119" s="736">
        <f>SUM(V114:V118)</f>
        <v>-14510</v>
      </c>
      <c r="W119" s="737">
        <f>W118</f>
        <v>-14510</v>
      </c>
      <c r="AA119" s="775"/>
    </row>
    <row r="120" spans="1:27" s="8" customFormat="1" ht="15" customHeight="1" x14ac:dyDescent="0.2">
      <c r="A120" s="63">
        <v>40</v>
      </c>
      <c r="B120" s="64">
        <v>57071</v>
      </c>
      <c r="C120" s="64">
        <v>58896</v>
      </c>
      <c r="D120" s="65">
        <v>0</v>
      </c>
      <c r="E120" s="65">
        <v>0</v>
      </c>
      <c r="F120" s="763">
        <v>0</v>
      </c>
      <c r="G120" s="756"/>
      <c r="H120" s="711">
        <f>IF(A120&lt;=$B$12,F120*'Income Data'!K$5,0)</f>
        <v>0</v>
      </c>
      <c r="I120" s="180">
        <f>$I$118+SUM(H$120:H120)</f>
        <v>0</v>
      </c>
      <c r="J120" s="180"/>
      <c r="L120" s="726">
        <f t="shared" si="7"/>
        <v>40</v>
      </c>
      <c r="M120" s="699"/>
      <c r="N120" s="699">
        <f>IF(A120&lt;=$B$12,IF($B$16="Single project",MAX(100,F120*'Cost Data'!$C$58),MAX(100/7,F120*'Cost Data'!$C$58)),0)</f>
        <v>100</v>
      </c>
      <c r="O120" s="700">
        <f>IF(A120&lt;=B$12,IF(B$16="Single project",'Cost Data'!C$53,(IF(B$16="Group of projects",'Cost Data'!D$53,0))),0)</f>
        <v>500</v>
      </c>
      <c r="P120" s="701">
        <f>IF(A120&lt;=B$12,IF(B$17="Yes",'Cost Data'!E$60,IF(B$9&lt;=50,'Cost Data'!D$60,'Cost Data'!C$60)),0)</f>
        <v>500</v>
      </c>
      <c r="Q120" s="709">
        <f>IF(A120&lt;=B$12,(IF(B$16="Single project",'Cost Data'!C$54,IF(B$16="Group of projects",'Cost Data'!D$54,0))),0)</f>
        <v>1882</v>
      </c>
      <c r="R120" s="727">
        <f t="shared" ref="R120:R126" si="11">SUM(M120:Q120)</f>
        <v>2982</v>
      </c>
      <c r="S120" s="728">
        <f>S118+R120</f>
        <v>17492</v>
      </c>
      <c r="U120" s="698">
        <f t="shared" si="8"/>
        <v>40</v>
      </c>
      <c r="V120" s="500">
        <f>IF(L120&lt;='Data Entry'!$B$12,H120-R120,0)</f>
        <v>-2982</v>
      </c>
      <c r="W120" s="705">
        <f>IF(L120&lt;='Data Entry'!$B$12,I120-S120,0)</f>
        <v>-17492</v>
      </c>
      <c r="AA120" s="775"/>
    </row>
    <row r="121" spans="1:27" s="8" customFormat="1" ht="15" customHeight="1" x14ac:dyDescent="0.2">
      <c r="A121" s="66">
        <v>50</v>
      </c>
      <c r="B121" s="67">
        <v>58897</v>
      </c>
      <c r="C121" s="67">
        <v>62548</v>
      </c>
      <c r="D121" s="68">
        <v>0</v>
      </c>
      <c r="E121" s="68">
        <v>0</v>
      </c>
      <c r="F121" s="763">
        <v>0</v>
      </c>
      <c r="G121" s="756"/>
      <c r="H121" s="711">
        <f>IF(A121&lt;=$B$12,F121*'Income Data'!K$5,0)</f>
        <v>0</v>
      </c>
      <c r="I121" s="180">
        <f>$I$118+SUM(H$120:H121)</f>
        <v>0</v>
      </c>
      <c r="J121" s="180"/>
      <c r="L121" s="726">
        <f t="shared" si="7"/>
        <v>50</v>
      </c>
      <c r="M121" s="699"/>
      <c r="N121" s="699">
        <f>IF(A121&lt;=$B$12,IF($B$16="Single project",MAX(100,F121*'Cost Data'!$C$58),MAX(100/7,F121*'Cost Data'!$C$58)),0)</f>
        <v>100</v>
      </c>
      <c r="O121" s="700">
        <f>IF(A121&lt;=B$12,IF(B$16="Single project",'Cost Data'!C$53,(IF(B$16="Group of projects",'Cost Data'!D$53,0))),0)</f>
        <v>500</v>
      </c>
      <c r="P121" s="701">
        <f>IF(A121&lt;=B$12,IF(B$17="Yes",'Cost Data'!E$60,IF(B$9&lt;=50,'Cost Data'!D$60,'Cost Data'!C$60)),0)</f>
        <v>500</v>
      </c>
      <c r="Q121" s="709">
        <f>IF(A121&lt;=B$12,(IF(B$16="Single project",'Cost Data'!C$54,IF(B$16="Group of projects",'Cost Data'!D$54,0))),0)</f>
        <v>1882</v>
      </c>
      <c r="R121" s="727">
        <f t="shared" si="11"/>
        <v>2982</v>
      </c>
      <c r="S121" s="728">
        <f t="shared" ref="S121:S126" si="12">S120+R121</f>
        <v>20474</v>
      </c>
      <c r="U121" s="698">
        <f t="shared" si="8"/>
        <v>50</v>
      </c>
      <c r="V121" s="500">
        <f>IF(L121&lt;='Data Entry'!$B$12,H121-R121,0)</f>
        <v>-2982</v>
      </c>
      <c r="W121" s="705">
        <f>IF(L121&lt;='Data Entry'!$B$12,I121-S121,0)</f>
        <v>-20474</v>
      </c>
      <c r="AA121" s="775"/>
    </row>
    <row r="122" spans="1:27" s="8" customFormat="1" ht="15" customHeight="1" x14ac:dyDescent="0.2">
      <c r="A122" s="66">
        <v>60</v>
      </c>
      <c r="B122" s="67">
        <v>62549</v>
      </c>
      <c r="C122" s="67">
        <v>66201</v>
      </c>
      <c r="D122" s="68">
        <v>0</v>
      </c>
      <c r="E122" s="68">
        <v>0</v>
      </c>
      <c r="F122" s="763">
        <v>0</v>
      </c>
      <c r="G122" s="756"/>
      <c r="H122" s="711">
        <f>IF(A122&lt;=$B$12,F122*'Income Data'!K$5,0)</f>
        <v>0</v>
      </c>
      <c r="I122" s="180">
        <f>$I$118+SUM(H$120:H122)</f>
        <v>0</v>
      </c>
      <c r="J122" s="180"/>
      <c r="L122" s="726">
        <f t="shared" si="7"/>
        <v>60</v>
      </c>
      <c r="M122" s="699"/>
      <c r="N122" s="699">
        <f>IF(A122&lt;=$B$12,IF($B$16="Single project",MAX(100,F122*'Cost Data'!$C$58),MAX(100/7,F122*'Cost Data'!$C$58)),0)</f>
        <v>100</v>
      </c>
      <c r="O122" s="700">
        <f>IF(A122&lt;=B$12,IF(B$16="Single project",'Cost Data'!C$53,(IF(B$16="Group of projects",'Cost Data'!D$53,0))),0)</f>
        <v>500</v>
      </c>
      <c r="P122" s="701">
        <f>IF(A122&lt;=B$12,IF(B$17="Yes",'Cost Data'!E$60,IF(B$9&lt;=50,'Cost Data'!D$60,'Cost Data'!C$60)),0)</f>
        <v>500</v>
      </c>
      <c r="Q122" s="709">
        <f>IF(A122&lt;=B$12,(IF(B$16="Single project",'Cost Data'!C$54,IF(B$16="Group of projects",'Cost Data'!D$54,0))),0)</f>
        <v>1882</v>
      </c>
      <c r="R122" s="727">
        <f t="shared" si="11"/>
        <v>2982</v>
      </c>
      <c r="S122" s="728">
        <f t="shared" si="12"/>
        <v>23456</v>
      </c>
      <c r="U122" s="698">
        <f t="shared" si="8"/>
        <v>60</v>
      </c>
      <c r="V122" s="500">
        <f>IF(L122&lt;='Data Entry'!$B$12,H122-R122,0)</f>
        <v>-2982</v>
      </c>
      <c r="W122" s="705">
        <f>IF(L122&lt;='Data Entry'!$B$12,I122-S122,0)</f>
        <v>-23456</v>
      </c>
      <c r="AA122" s="775"/>
    </row>
    <row r="123" spans="1:27" s="8" customFormat="1" ht="15" customHeight="1" x14ac:dyDescent="0.2">
      <c r="A123" s="66">
        <v>70</v>
      </c>
      <c r="B123" s="67">
        <v>66202</v>
      </c>
      <c r="C123" s="67">
        <v>69853</v>
      </c>
      <c r="D123" s="68">
        <v>0</v>
      </c>
      <c r="E123" s="68">
        <v>0</v>
      </c>
      <c r="F123" s="763">
        <v>0</v>
      </c>
      <c r="G123" s="756"/>
      <c r="H123" s="711">
        <f>IF(A123&lt;=$B$12,F123*'Income Data'!K$5,0)</f>
        <v>0</v>
      </c>
      <c r="I123" s="180">
        <f>$I$118+SUM(H$120:H123)</f>
        <v>0</v>
      </c>
      <c r="J123" s="180"/>
      <c r="L123" s="726">
        <f t="shared" si="7"/>
        <v>70</v>
      </c>
      <c r="M123" s="699"/>
      <c r="N123" s="699">
        <f>IF(A123&lt;=$B$12,IF($B$16="Single project",MAX(100,F123*'Cost Data'!$C$58),MAX(100/7,F123*'Cost Data'!$C$58)),0)</f>
        <v>100</v>
      </c>
      <c r="O123" s="700">
        <f>IF(A123&lt;=B$12,IF(B$16="Single project",'Cost Data'!C$53,(IF(B$16="Group of projects",'Cost Data'!D$53,0))),0)</f>
        <v>500</v>
      </c>
      <c r="P123" s="701">
        <f>IF(A123&lt;=B$12,IF(B$17="Yes",'Cost Data'!E$60,IF(B$9&lt;=50,'Cost Data'!D$60,'Cost Data'!C$60)),0)</f>
        <v>500</v>
      </c>
      <c r="Q123" s="709">
        <f>IF(A123&lt;=B$12,(IF(B$16="Single project",'Cost Data'!C$54,IF(B$16="Group of projects",'Cost Data'!D$54,0))),0)</f>
        <v>1882</v>
      </c>
      <c r="R123" s="727">
        <f t="shared" si="11"/>
        <v>2982</v>
      </c>
      <c r="S123" s="728">
        <f t="shared" si="12"/>
        <v>26438</v>
      </c>
      <c r="U123" s="698">
        <f t="shared" si="8"/>
        <v>70</v>
      </c>
      <c r="V123" s="500">
        <f>IF(L123&lt;='Data Entry'!$B$12,H123-R123,0)</f>
        <v>-2982</v>
      </c>
      <c r="W123" s="705">
        <f>IF(L123&lt;='Data Entry'!$B$12,I123-S123,0)</f>
        <v>-26438</v>
      </c>
      <c r="AA123" s="775"/>
    </row>
    <row r="124" spans="1:27" s="8" customFormat="1" ht="15" customHeight="1" x14ac:dyDescent="0.2">
      <c r="A124" s="66">
        <v>80</v>
      </c>
      <c r="B124" s="67">
        <v>69854</v>
      </c>
      <c r="C124" s="67">
        <v>73505</v>
      </c>
      <c r="D124" s="68">
        <v>0</v>
      </c>
      <c r="E124" s="68">
        <v>0</v>
      </c>
      <c r="F124" s="763">
        <v>0</v>
      </c>
      <c r="G124" s="756"/>
      <c r="H124" s="711">
        <f>IF(A124&lt;=$B$12,F124*'Income Data'!K$5,0)</f>
        <v>0</v>
      </c>
      <c r="I124" s="180">
        <f>$I$118+SUM(H$120:H124)</f>
        <v>0</v>
      </c>
      <c r="J124" s="180"/>
      <c r="L124" s="726">
        <f t="shared" si="7"/>
        <v>80</v>
      </c>
      <c r="M124" s="699"/>
      <c r="N124" s="699">
        <f>IF(A124&lt;=$B$12,IF($B$16="Single project",MAX(100,F124*'Cost Data'!$C$58),MAX(100/7,F124*'Cost Data'!$C$58)),0)</f>
        <v>100</v>
      </c>
      <c r="O124" s="700">
        <f>IF(A124&lt;=B$12,IF(B$16="Single project",'Cost Data'!C$53,(IF(B$16="Group of projects",'Cost Data'!D$53,0))),0)</f>
        <v>500</v>
      </c>
      <c r="P124" s="701">
        <f>IF(A124&lt;=B$12,IF(B$17="Yes",'Cost Data'!E$60,IF(B$9&lt;=50,'Cost Data'!D$60,'Cost Data'!C$60)),0)</f>
        <v>500</v>
      </c>
      <c r="Q124" s="709">
        <f>IF(A124&lt;=B$12,(IF(B$16="Single project",'Cost Data'!C$54,IF(B$16="Group of projects",'Cost Data'!D$54,0))),0)</f>
        <v>1882</v>
      </c>
      <c r="R124" s="727">
        <f t="shared" si="11"/>
        <v>2982</v>
      </c>
      <c r="S124" s="728">
        <f t="shared" si="12"/>
        <v>29420</v>
      </c>
      <c r="U124" s="698">
        <f t="shared" si="8"/>
        <v>80</v>
      </c>
      <c r="V124" s="500">
        <f>IF(L124&lt;='Data Entry'!$B$12,H124-R124,0)</f>
        <v>-2982</v>
      </c>
      <c r="W124" s="705">
        <f>IF(L124&lt;='Data Entry'!$B$12,I124-S124,0)</f>
        <v>-29420</v>
      </c>
      <c r="AA124" s="775"/>
    </row>
    <row r="125" spans="1:27" s="8" customFormat="1" ht="15" customHeight="1" x14ac:dyDescent="0.2">
      <c r="A125" s="69">
        <v>90</v>
      </c>
      <c r="B125" s="67">
        <v>73506</v>
      </c>
      <c r="C125" s="67">
        <v>77157</v>
      </c>
      <c r="D125" s="70">
        <v>0</v>
      </c>
      <c r="E125" s="70">
        <v>0</v>
      </c>
      <c r="F125" s="763">
        <v>0</v>
      </c>
      <c r="G125" s="756"/>
      <c r="H125" s="711">
        <f>IF(A125&lt;=$B$12,F125*'Income Data'!K$5,0)</f>
        <v>0</v>
      </c>
      <c r="I125" s="180">
        <f>$I$118+SUM(H$120:H125)</f>
        <v>0</v>
      </c>
      <c r="J125" s="180"/>
      <c r="L125" s="726">
        <f t="shared" si="7"/>
        <v>90</v>
      </c>
      <c r="M125" s="699"/>
      <c r="N125" s="699">
        <f>IF(A125&lt;=$B$12,IF($B$16="Single project",MAX(100,F125*'Cost Data'!$C$58),MAX(100/7,F125*'Cost Data'!$C$58)),0)</f>
        <v>100</v>
      </c>
      <c r="O125" s="700">
        <f>IF(A125&lt;=B$12,IF(B$16="Single project",'Cost Data'!C$53,(IF(B$16="Group of projects",'Cost Data'!D$53,0))),0)</f>
        <v>500</v>
      </c>
      <c r="P125" s="701">
        <f>IF(A125&lt;=B$12,IF(B$17="Yes",'Cost Data'!E$60,IF(B$9&lt;=50,'Cost Data'!D$60,'Cost Data'!C$60)),0)</f>
        <v>500</v>
      </c>
      <c r="Q125" s="709">
        <f>IF(A125&lt;=B$12,(IF(B$16="Single project",'Cost Data'!C$54,IF(B$16="Group of projects",'Cost Data'!D$54,0))),0)</f>
        <v>1882</v>
      </c>
      <c r="R125" s="727">
        <f t="shared" si="11"/>
        <v>2982</v>
      </c>
      <c r="S125" s="728">
        <f t="shared" si="12"/>
        <v>32402</v>
      </c>
      <c r="U125" s="698">
        <f t="shared" si="8"/>
        <v>90</v>
      </c>
      <c r="V125" s="500">
        <f>IF(L125&lt;='Data Entry'!$B$12,H125-R125,0)</f>
        <v>-2982</v>
      </c>
      <c r="W125" s="705">
        <f>IF(L125&lt;='Data Entry'!$B$12,I125-S125,0)</f>
        <v>-32402</v>
      </c>
      <c r="AA125" s="775"/>
    </row>
    <row r="126" spans="1:27" s="8" customFormat="1" ht="15" customHeight="1" thickBot="1" x14ac:dyDescent="0.25">
      <c r="A126" s="71">
        <v>100</v>
      </c>
      <c r="B126" s="72">
        <v>77158</v>
      </c>
      <c r="C126" s="72">
        <v>80810</v>
      </c>
      <c r="D126" s="73">
        <v>0</v>
      </c>
      <c r="E126" s="73">
        <v>0</v>
      </c>
      <c r="F126" s="764">
        <v>0</v>
      </c>
      <c r="G126" s="756"/>
      <c r="H126" s="711">
        <f>IF(A126&lt;=$B$12,F126*'Income Data'!K$5,0)</f>
        <v>0</v>
      </c>
      <c r="I126" s="181">
        <f>$I$118+SUM(H$120:H126)</f>
        <v>0</v>
      </c>
      <c r="J126" s="181"/>
      <c r="L126" s="726">
        <f t="shared" si="7"/>
        <v>100</v>
      </c>
      <c r="M126" s="699"/>
      <c r="N126" s="699">
        <f>IF(A126&lt;=$B$12,IF($B$16="Single project",MAX(100,F126*'Cost Data'!$C$58),MAX(100/7,F126*'Cost Data'!$C$58)),0)</f>
        <v>100</v>
      </c>
      <c r="O126" s="700">
        <f>IF(A126&lt;=B$12,IF(B$16="Single project",'Cost Data'!C$53,(IF(B$16="Group of projects",'Cost Data'!D$53,0))),0)</f>
        <v>500</v>
      </c>
      <c r="P126" s="701">
        <f>IF(A126&lt;=B$12,IF(B$17="Yes",'Cost Data'!E$60,IF(B$9&lt;=50,'Cost Data'!D$60,'Cost Data'!C$60)),0)</f>
        <v>500</v>
      </c>
      <c r="Q126" s="709">
        <f>IF(A126&lt;=B$12,(IF(B$16="Single project",'Cost Data'!C$54,IF(B$16="Group of projects",'Cost Data'!D$54,0))),0)</f>
        <v>1882</v>
      </c>
      <c r="R126" s="727">
        <f t="shared" si="11"/>
        <v>2982</v>
      </c>
      <c r="S126" s="728">
        <f t="shared" si="12"/>
        <v>35384</v>
      </c>
      <c r="U126" s="738">
        <f t="shared" si="8"/>
        <v>100</v>
      </c>
      <c r="V126" s="500">
        <f>IF(L126&lt;='Data Entry'!$B$12,H126-R126,0)</f>
        <v>-2982</v>
      </c>
      <c r="W126" s="705">
        <f>IF(L126&lt;='Data Entry'!$B$12,I126-S126,0)</f>
        <v>-35384</v>
      </c>
      <c r="AA126" s="775"/>
    </row>
    <row r="127" spans="1:27" s="8" customFormat="1" ht="15" customHeight="1" thickBot="1" x14ac:dyDescent="0.25">
      <c r="A127" s="226" t="s">
        <v>25</v>
      </c>
      <c r="B127" s="226"/>
      <c r="C127" s="226"/>
      <c r="D127" s="77">
        <v>0</v>
      </c>
      <c r="E127" s="77">
        <v>0</v>
      </c>
      <c r="F127" s="77">
        <v>0</v>
      </c>
      <c r="G127" s="758"/>
      <c r="H127" s="15">
        <f>SUM(H120:H126)</f>
        <v>0</v>
      </c>
      <c r="I127" s="9">
        <f>I126-I119</f>
        <v>0</v>
      </c>
      <c r="J127" s="9">
        <f>J126-J119</f>
        <v>0</v>
      </c>
      <c r="L127" s="739" t="str">
        <f t="shared" si="7"/>
        <v>Subtotal - remainder not claimable under WCaG</v>
      </c>
      <c r="M127" s="740">
        <f t="shared" ref="M127:R127" si="13">SUM(M120:M126)</f>
        <v>0</v>
      </c>
      <c r="N127" s="740">
        <f t="shared" si="13"/>
        <v>700</v>
      </c>
      <c r="O127" s="740">
        <f t="shared" si="13"/>
        <v>3500</v>
      </c>
      <c r="P127" s="740">
        <f t="shared" si="13"/>
        <v>3500</v>
      </c>
      <c r="Q127" s="741">
        <f t="shared" si="13"/>
        <v>13174</v>
      </c>
      <c r="R127" s="733">
        <f t="shared" si="13"/>
        <v>20874</v>
      </c>
      <c r="S127" s="734">
        <f>S126</f>
        <v>35384</v>
      </c>
      <c r="U127" s="730" t="s">
        <v>24</v>
      </c>
      <c r="V127" s="731">
        <f>SUM(V120:V126)</f>
        <v>-20874</v>
      </c>
      <c r="W127" s="742">
        <f>W126</f>
        <v>-35384</v>
      </c>
      <c r="AA127" s="775"/>
    </row>
    <row r="128" spans="1:27" s="8" customFormat="1" ht="15" customHeight="1" thickBot="1" x14ac:dyDescent="0.25">
      <c r="A128" s="227" t="s">
        <v>26</v>
      </c>
      <c r="B128" s="231"/>
      <c r="C128" s="78"/>
      <c r="D128" s="79">
        <v>0</v>
      </c>
      <c r="E128" s="79">
        <v>0</v>
      </c>
      <c r="F128" s="79">
        <v>0</v>
      </c>
      <c r="G128" s="758"/>
      <c r="H128" s="15">
        <f>H119+H127</f>
        <v>0</v>
      </c>
      <c r="I128" s="9">
        <f>I126</f>
        <v>0</v>
      </c>
      <c r="J128" s="9">
        <f>I128</f>
        <v>0</v>
      </c>
      <c r="L128" s="743" t="s">
        <v>12</v>
      </c>
      <c r="M128" s="744">
        <f t="shared" ref="M128:R128" si="14">M119+M127</f>
        <v>0</v>
      </c>
      <c r="N128" s="744">
        <f t="shared" si="14"/>
        <v>1100</v>
      </c>
      <c r="O128" s="744">
        <f t="shared" si="14"/>
        <v>6800</v>
      </c>
      <c r="P128" s="744">
        <f t="shared" si="14"/>
        <v>5500</v>
      </c>
      <c r="Q128" s="745">
        <f t="shared" si="14"/>
        <v>21984</v>
      </c>
      <c r="R128" s="746">
        <f t="shared" si="14"/>
        <v>35384</v>
      </c>
      <c r="S128" s="747">
        <f>S127</f>
        <v>35384</v>
      </c>
      <c r="U128" s="748" t="s">
        <v>12</v>
      </c>
      <c r="V128" s="749">
        <f>V119+V127</f>
        <v>-35384</v>
      </c>
      <c r="W128" s="750">
        <f>W126</f>
        <v>-35384</v>
      </c>
      <c r="AA128" s="775"/>
    </row>
    <row r="129" spans="1:27" s="8" customFormat="1" ht="13.5" thickBot="1" x14ac:dyDescent="0.25">
      <c r="A129" s="890"/>
      <c r="B129" s="664"/>
      <c r="C129" s="1039" t="s">
        <v>611</v>
      </c>
      <c r="D129" s="1036"/>
      <c r="E129" s="1036"/>
      <c r="F129" s="1037"/>
      <c r="G129" s="754"/>
      <c r="J129" s="725"/>
      <c r="AA129" s="775"/>
    </row>
    <row r="130" spans="1:27" s="8" customFormat="1" ht="27" thickTop="1" thickBot="1" x14ac:dyDescent="0.25">
      <c r="A130" s="917" t="s">
        <v>494</v>
      </c>
      <c r="B130" s="915"/>
      <c r="C130" s="915"/>
      <c r="D130" s="915"/>
      <c r="E130" s="915"/>
      <c r="F130" s="915"/>
      <c r="G130" s="754"/>
      <c r="L130" s="24" t="s">
        <v>31</v>
      </c>
      <c r="M130" s="25" t="s">
        <v>27</v>
      </c>
      <c r="N130" s="25" t="s">
        <v>28</v>
      </c>
      <c r="O130" s="18" t="s">
        <v>408</v>
      </c>
      <c r="P130" s="25" t="s">
        <v>16</v>
      </c>
      <c r="Q130" s="26" t="s">
        <v>29</v>
      </c>
      <c r="R130" s="27" t="s">
        <v>38</v>
      </c>
      <c r="S130" s="28" t="s">
        <v>39</v>
      </c>
      <c r="U130" s="21" t="s">
        <v>31</v>
      </c>
      <c r="V130" s="22" t="s">
        <v>36</v>
      </c>
      <c r="W130" s="23" t="s">
        <v>37</v>
      </c>
      <c r="AA130" s="775"/>
    </row>
    <row r="131" spans="1:27" s="8" customFormat="1" ht="51.75" thickBot="1" x14ac:dyDescent="0.25">
      <c r="A131" s="221" t="s">
        <v>21</v>
      </c>
      <c r="B131" s="222" t="s">
        <v>22</v>
      </c>
      <c r="C131" s="222" t="s">
        <v>23</v>
      </c>
      <c r="D131" s="223" t="s">
        <v>44</v>
      </c>
      <c r="E131" s="222" t="s">
        <v>45</v>
      </c>
      <c r="F131" s="222" t="s">
        <v>46</v>
      </c>
      <c r="G131" s="755"/>
      <c r="H131" s="13" t="s">
        <v>466</v>
      </c>
      <c r="I131" s="10" t="s">
        <v>467</v>
      </c>
      <c r="J131" s="10" t="s">
        <v>467</v>
      </c>
      <c r="L131" s="726">
        <v>0</v>
      </c>
      <c r="M131" s="699">
        <f>F148*('Cost Data'!C56+'Cost Data'!C57)</f>
        <v>0</v>
      </c>
      <c r="N131" s="699"/>
      <c r="O131" s="700">
        <f>IF(B$16="Single project",SUM('Cost Data'!C$48:C$49),(IF(B$16="Group of projects",SUM('Cost Data'!D$48:D$49),0)))</f>
        <v>1300</v>
      </c>
      <c r="P131" s="701">
        <v>0</v>
      </c>
      <c r="Q131" s="702">
        <f>IF(B$16="Single project",'Cost Data'!C$50,IF(B$16="Group of projects",'Cost Data'!D$50,0))</f>
        <v>1282</v>
      </c>
      <c r="R131" s="727">
        <f t="shared" ref="R131:R138" si="15">SUM(M131:Q131)</f>
        <v>2582</v>
      </c>
      <c r="S131" s="728">
        <f>R131</f>
        <v>2582</v>
      </c>
      <c r="U131" s="698">
        <f t="shared" ref="U131:U146" si="16">L131</f>
        <v>0</v>
      </c>
      <c r="V131" s="500">
        <f>-R131</f>
        <v>-2582</v>
      </c>
      <c r="W131" s="705">
        <f>-R131</f>
        <v>-2582</v>
      </c>
      <c r="AA131" s="775"/>
    </row>
    <row r="132" spans="1:27" s="8" customFormat="1" ht="15" customHeight="1" x14ac:dyDescent="0.2">
      <c r="A132" s="63">
        <v>5</v>
      </c>
      <c r="B132" s="64">
        <v>44287</v>
      </c>
      <c r="C132" s="64">
        <v>46112</v>
      </c>
      <c r="D132" s="214">
        <v>0</v>
      </c>
      <c r="E132" s="65">
        <v>0</v>
      </c>
      <c r="F132" s="762">
        <v>0</v>
      </c>
      <c r="G132" s="756"/>
      <c r="H132" s="179">
        <f>F132*'Income Data'!K$5</f>
        <v>0</v>
      </c>
      <c r="I132" s="179">
        <f>SUM(H$132:H132)</f>
        <v>0</v>
      </c>
      <c r="J132" s="179"/>
      <c r="L132" s="726">
        <f t="shared" ref="L132:L147" si="17">A132</f>
        <v>5</v>
      </c>
      <c r="M132" s="699"/>
      <c r="N132" s="699">
        <f>IF($B$16="Single project",MAX(100,F132*'Cost Data'!$C$58),MAX(100/7,F132*'Cost Data'!$C$58))</f>
        <v>100</v>
      </c>
      <c r="O132" s="700">
        <f>IF(B$16="Single project",'Cost Data'!C$51,(IF(B$16="Group of projects",'Cost Data'!D$51,0)))</f>
        <v>500</v>
      </c>
      <c r="P132" s="701">
        <f>IF(B$17="Yes",'Cost Data'!E$60,IF(B$9&lt;=50,'Cost Data'!D$60,'Cost Data'!C$60))</f>
        <v>500</v>
      </c>
      <c r="Q132" s="709">
        <f>IF(B$16="Single project",'Cost Data'!C$52,IF(B$16="Group of projects",'Cost Data'!D$52,0))</f>
        <v>1882</v>
      </c>
      <c r="R132" s="727">
        <f t="shared" si="15"/>
        <v>2982</v>
      </c>
      <c r="S132" s="728">
        <f t="shared" ref="S132:S138" si="18">S131+R132</f>
        <v>5564</v>
      </c>
      <c r="U132" s="698">
        <f t="shared" si="16"/>
        <v>5</v>
      </c>
      <c r="V132" s="500">
        <f t="shared" ref="V132:W138" si="19">H132-R132</f>
        <v>-2982</v>
      </c>
      <c r="W132" s="705">
        <f t="shared" si="19"/>
        <v>-5564</v>
      </c>
      <c r="AA132" s="775"/>
    </row>
    <row r="133" spans="1:27" s="8" customFormat="1" ht="15" customHeight="1" x14ac:dyDescent="0.2">
      <c r="A133" s="66">
        <v>10</v>
      </c>
      <c r="B133" s="67">
        <v>46113</v>
      </c>
      <c r="C133" s="67">
        <v>47938</v>
      </c>
      <c r="D133" s="215">
        <v>0</v>
      </c>
      <c r="E133" s="68">
        <v>0</v>
      </c>
      <c r="F133" s="763">
        <v>0</v>
      </c>
      <c r="G133" s="756"/>
      <c r="H133" s="180">
        <f>F133*'Income Data'!K$5</f>
        <v>0</v>
      </c>
      <c r="I133" s="180">
        <f>SUM(H$132:H133)</f>
        <v>0</v>
      </c>
      <c r="J133" s="180"/>
      <c r="L133" s="726">
        <f t="shared" si="17"/>
        <v>10</v>
      </c>
      <c r="M133" s="699"/>
      <c r="N133" s="699">
        <f>IF($B$16="Single project",MAX(100,F133*'Cost Data'!$C$58),MAX(100/7,F133*'Cost Data'!$C$58))</f>
        <v>100</v>
      </c>
      <c r="O133" s="700">
        <f>IF(A133&lt;=B$12,IF(B$16="Single project",'Cost Data'!C$53,(IF(B$16="Group of projects",'Cost Data'!D$53,0))),0)</f>
        <v>500</v>
      </c>
      <c r="P133" s="701">
        <f>IF(A133&lt;=B$12,IF(B$17="Yes",'Cost Data'!E$60,IF(B$9&lt;=50,'Cost Data'!D$60,'Cost Data'!C$60)),0)</f>
        <v>500</v>
      </c>
      <c r="Q133" s="709">
        <f>IF(A133&lt;=B$12,(IF(B$16="Single project",'Cost Data'!C$54,IF(B$16="Group of projects",'Cost Data'!D$54,0))),0)</f>
        <v>1882</v>
      </c>
      <c r="R133" s="727">
        <f t="shared" si="15"/>
        <v>2982</v>
      </c>
      <c r="S133" s="728">
        <f t="shared" si="18"/>
        <v>8546</v>
      </c>
      <c r="U133" s="698">
        <f t="shared" si="16"/>
        <v>10</v>
      </c>
      <c r="V133" s="500">
        <f t="shared" si="19"/>
        <v>-2982</v>
      </c>
      <c r="W133" s="705">
        <f t="shared" si="19"/>
        <v>-8546</v>
      </c>
      <c r="AA133" s="775"/>
    </row>
    <row r="134" spans="1:27" s="8" customFormat="1" ht="15" customHeight="1" x14ac:dyDescent="0.2">
      <c r="A134" s="66">
        <v>15</v>
      </c>
      <c r="B134" s="67">
        <v>47939</v>
      </c>
      <c r="C134" s="67">
        <v>49765</v>
      </c>
      <c r="D134" s="215">
        <v>0</v>
      </c>
      <c r="E134" s="68">
        <v>0</v>
      </c>
      <c r="F134" s="763">
        <v>0</v>
      </c>
      <c r="G134" s="756"/>
      <c r="H134" s="180">
        <f>F134*'Income Data'!K$5</f>
        <v>0</v>
      </c>
      <c r="I134" s="180">
        <f>SUM(H$132:H134)</f>
        <v>0</v>
      </c>
      <c r="J134" s="180"/>
      <c r="L134" s="726">
        <f t="shared" si="17"/>
        <v>15</v>
      </c>
      <c r="M134" s="699"/>
      <c r="N134" s="699">
        <f>IF($B$16="Single project",MAX(100,F134*'Cost Data'!$C$58),MAX(100/7,F134*'Cost Data'!$C$58))</f>
        <v>100</v>
      </c>
      <c r="O134" s="700">
        <f>IF(A134&lt;=B$12,IF(B$16="Single project",'Cost Data'!C$53,(IF(B$16="Group of projects",'Cost Data'!D$53,0))),0)</f>
        <v>500</v>
      </c>
      <c r="P134" s="701">
        <f>IF(A134&lt;=B$12,IF(B$17="Yes",'Cost Data'!E$60,IF(B$9&lt;=50,'Cost Data'!D$60,'Cost Data'!C$60)),0)</f>
        <v>500</v>
      </c>
      <c r="Q134" s="709">
        <f>IF(A134&lt;=B$12,(IF(B$16="Single project",'Cost Data'!C$54,IF(B$16="Group of projects",'Cost Data'!D$54,0))),0)</f>
        <v>1882</v>
      </c>
      <c r="R134" s="727">
        <f t="shared" si="15"/>
        <v>2982</v>
      </c>
      <c r="S134" s="728">
        <f t="shared" si="18"/>
        <v>11528</v>
      </c>
      <c r="U134" s="698">
        <f t="shared" si="16"/>
        <v>15</v>
      </c>
      <c r="V134" s="500">
        <f t="shared" si="19"/>
        <v>-2982</v>
      </c>
      <c r="W134" s="705">
        <f t="shared" si="19"/>
        <v>-11528</v>
      </c>
      <c r="AA134" s="775"/>
    </row>
    <row r="135" spans="1:27" s="8" customFormat="1" ht="15" customHeight="1" x14ac:dyDescent="0.2">
      <c r="A135" s="66">
        <v>20</v>
      </c>
      <c r="B135" s="67">
        <v>49766</v>
      </c>
      <c r="C135" s="67">
        <v>51591</v>
      </c>
      <c r="D135" s="215">
        <v>0</v>
      </c>
      <c r="E135" s="68">
        <v>0</v>
      </c>
      <c r="F135" s="763">
        <v>0</v>
      </c>
      <c r="G135" s="756"/>
      <c r="H135" s="180">
        <f>F135*'Income Data'!K$5</f>
        <v>0</v>
      </c>
      <c r="I135" s="180">
        <f>SUM(H$132:H135)</f>
        <v>0</v>
      </c>
      <c r="J135" s="180"/>
      <c r="L135" s="726">
        <f t="shared" si="17"/>
        <v>20</v>
      </c>
      <c r="M135" s="699"/>
      <c r="N135" s="699">
        <f>IF($B$16="Single project",MAX(100,F135*'Cost Data'!$C$58),MAX(100/7,F135*'Cost Data'!$C$58))</f>
        <v>100</v>
      </c>
      <c r="O135" s="700">
        <f>IF(A135&lt;=B$12,IF(B$16="Single project",'Cost Data'!C$53,(IF(B$16="Group of projects",'Cost Data'!D$53,0))),0)</f>
        <v>500</v>
      </c>
      <c r="P135" s="701">
        <f>IF(A135&lt;=B$12,IF(B$17="Yes",'Cost Data'!E$60,IF(B$9&lt;=50,'Cost Data'!D$60,'Cost Data'!C$60)),0)</f>
        <v>500</v>
      </c>
      <c r="Q135" s="709">
        <f>IF(A135&lt;=B$12,(IF(B$16="Single project",'Cost Data'!C$54,IF(B$16="Group of projects",'Cost Data'!D$54,0))),0)</f>
        <v>1882</v>
      </c>
      <c r="R135" s="727">
        <f t="shared" si="15"/>
        <v>2982</v>
      </c>
      <c r="S135" s="728">
        <f t="shared" si="18"/>
        <v>14510</v>
      </c>
      <c r="U135" s="698">
        <f t="shared" si="16"/>
        <v>20</v>
      </c>
      <c r="V135" s="500">
        <f t="shared" si="19"/>
        <v>-2982</v>
      </c>
      <c r="W135" s="705">
        <f t="shared" si="19"/>
        <v>-14510</v>
      </c>
      <c r="AA135" s="775"/>
    </row>
    <row r="136" spans="1:27" s="8" customFormat="1" ht="15" customHeight="1" x14ac:dyDescent="0.2">
      <c r="A136" s="66">
        <v>25</v>
      </c>
      <c r="B136" s="67">
        <v>51592</v>
      </c>
      <c r="C136" s="67">
        <v>53417</v>
      </c>
      <c r="D136" s="215">
        <v>0</v>
      </c>
      <c r="E136" s="68">
        <v>0</v>
      </c>
      <c r="F136" s="763">
        <v>0</v>
      </c>
      <c r="G136" s="756"/>
      <c r="H136" s="180">
        <f>F136*'Income Data'!K$5</f>
        <v>0</v>
      </c>
      <c r="I136" s="180">
        <f>SUM(H$132:H136)</f>
        <v>0</v>
      </c>
      <c r="J136" s="180"/>
      <c r="L136" s="726">
        <f t="shared" si="17"/>
        <v>25</v>
      </c>
      <c r="M136" s="699"/>
      <c r="N136" s="699">
        <f>IF($B$16="Single project",MAX(100,F136*'Cost Data'!$C$58),MAX(100/7,F136*'Cost Data'!$C$58))</f>
        <v>100</v>
      </c>
      <c r="O136" s="700">
        <f>IF(A136&lt;=B$12,IF(B$16="Single project",'Cost Data'!C$53,(IF(B$16="Group of projects",'Cost Data'!D$53,0))),0)</f>
        <v>500</v>
      </c>
      <c r="P136" s="701">
        <f>IF(A136&lt;=B$12,IF(B$17="Yes",'Cost Data'!E$60,IF(B$9&lt;=50,'Cost Data'!D$60,'Cost Data'!C$60)),0)</f>
        <v>500</v>
      </c>
      <c r="Q136" s="709">
        <f>IF(A136&lt;=B$12,(IF(B$16="Single project",'Cost Data'!C$54,IF(B$16="Group of projects",'Cost Data'!D$54,0))),0)</f>
        <v>1882</v>
      </c>
      <c r="R136" s="727">
        <f t="shared" si="15"/>
        <v>2982</v>
      </c>
      <c r="S136" s="728">
        <f t="shared" si="18"/>
        <v>17492</v>
      </c>
      <c r="U136" s="698">
        <f t="shared" si="16"/>
        <v>25</v>
      </c>
      <c r="V136" s="500">
        <f t="shared" si="19"/>
        <v>-2982</v>
      </c>
      <c r="W136" s="705">
        <f t="shared" si="19"/>
        <v>-17492</v>
      </c>
      <c r="AA136" s="775"/>
    </row>
    <row r="137" spans="1:27" s="8" customFormat="1" ht="15" customHeight="1" x14ac:dyDescent="0.2">
      <c r="A137" s="66">
        <v>30</v>
      </c>
      <c r="B137" s="67">
        <v>53418</v>
      </c>
      <c r="C137" s="67">
        <v>55243</v>
      </c>
      <c r="D137" s="215">
        <v>0</v>
      </c>
      <c r="E137" s="68">
        <v>0</v>
      </c>
      <c r="F137" s="763">
        <v>0</v>
      </c>
      <c r="G137" s="756"/>
      <c r="H137" s="180">
        <f>F137*'Income Data'!K$5</f>
        <v>0</v>
      </c>
      <c r="I137" s="180">
        <f>SUM(H$132:H137)</f>
        <v>0</v>
      </c>
      <c r="J137" s="180"/>
      <c r="L137" s="726">
        <f t="shared" si="17"/>
        <v>30</v>
      </c>
      <c r="M137" s="699"/>
      <c r="N137" s="699">
        <f>IF($B$16="Single project",MAX(100,F137*'Cost Data'!$C$58),MAX(100/7,F137*'Cost Data'!$C$58))</f>
        <v>100</v>
      </c>
      <c r="O137" s="700">
        <f>IF(A137&lt;=B$12,IF(B$16="Single project",'Cost Data'!C$53,(IF(B$16="Group of projects",'Cost Data'!D$53,0))),0)</f>
        <v>500</v>
      </c>
      <c r="P137" s="701">
        <f>IF(A137&lt;=B$12,IF(B$17="Yes",'Cost Data'!E$60,IF(B$9&lt;=50,'Cost Data'!D$60,'Cost Data'!C$60)),0)</f>
        <v>500</v>
      </c>
      <c r="Q137" s="709">
        <f>IF(A137&lt;=B$12,(IF(B$16="Single project",'Cost Data'!C$54,IF(B$16="Group of projects",'Cost Data'!D$54,0))),0)</f>
        <v>1882</v>
      </c>
      <c r="R137" s="727">
        <f t="shared" si="15"/>
        <v>2982</v>
      </c>
      <c r="S137" s="728">
        <f t="shared" si="18"/>
        <v>20474</v>
      </c>
      <c r="U137" s="698">
        <f t="shared" si="16"/>
        <v>30</v>
      </c>
      <c r="V137" s="500">
        <f t="shared" si="19"/>
        <v>-2982</v>
      </c>
      <c r="W137" s="705">
        <f t="shared" si="19"/>
        <v>-20474</v>
      </c>
      <c r="AA137" s="775"/>
    </row>
    <row r="138" spans="1:27" s="8" customFormat="1" ht="15" customHeight="1" thickBot="1" x14ac:dyDescent="0.25">
      <c r="A138" s="74">
        <v>35</v>
      </c>
      <c r="B138" s="72">
        <v>55244</v>
      </c>
      <c r="C138" s="75">
        <v>57070</v>
      </c>
      <c r="D138" s="216">
        <v>0</v>
      </c>
      <c r="E138" s="76">
        <v>0</v>
      </c>
      <c r="F138" s="764">
        <v>0</v>
      </c>
      <c r="G138" s="756"/>
      <c r="H138" s="181">
        <f>F138*'Income Data'!K$5</f>
        <v>0</v>
      </c>
      <c r="I138" s="181">
        <f>SUM(H$132:H138)</f>
        <v>0</v>
      </c>
      <c r="J138" s="181"/>
      <c r="L138" s="726">
        <f t="shared" si="17"/>
        <v>35</v>
      </c>
      <c r="M138" s="699"/>
      <c r="N138" s="699">
        <f>IF($B$16="Single project",MAX(100,F138*'Cost Data'!$C$58),MAX(100/7,F138*'Cost Data'!$C$58))</f>
        <v>100</v>
      </c>
      <c r="O138" s="700">
        <f>IF(A138&lt;=B$12,IF(B$16="Single project",'Cost Data'!C$53,(IF(B$16="Group of projects",'Cost Data'!D$53,0))),0)</f>
        <v>500</v>
      </c>
      <c r="P138" s="701">
        <f>IF(A138&lt;=B$12,IF(B$17="Yes",'Cost Data'!E$60,IF(B$9&lt;=50,'Cost Data'!D$60,'Cost Data'!C$60)),0)</f>
        <v>500</v>
      </c>
      <c r="Q138" s="709">
        <f>IF(A138&lt;=B$12,(IF(B$16="Single project",'Cost Data'!C$54,IF(B$16="Group of projects",'Cost Data'!D$54,0))),0)</f>
        <v>1882</v>
      </c>
      <c r="R138" s="727">
        <f t="shared" si="15"/>
        <v>2982</v>
      </c>
      <c r="S138" s="728">
        <f t="shared" si="18"/>
        <v>23456</v>
      </c>
      <c r="U138" s="698">
        <f t="shared" si="16"/>
        <v>35</v>
      </c>
      <c r="V138" s="500">
        <f t="shared" si="19"/>
        <v>-2982</v>
      </c>
      <c r="W138" s="705">
        <f t="shared" si="19"/>
        <v>-23456</v>
      </c>
      <c r="AA138" s="775"/>
    </row>
    <row r="139" spans="1:27" s="8" customFormat="1" ht="15" customHeight="1" thickBot="1" x14ac:dyDescent="0.25">
      <c r="A139" s="224" t="s">
        <v>24</v>
      </c>
      <c r="B139" s="225"/>
      <c r="C139" s="225"/>
      <c r="D139" s="760">
        <v>0</v>
      </c>
      <c r="E139" s="77">
        <v>0</v>
      </c>
      <c r="F139" s="77">
        <v>0</v>
      </c>
      <c r="G139" s="759"/>
      <c r="H139" s="15">
        <f>SUM(H132:H138)</f>
        <v>0</v>
      </c>
      <c r="I139" s="9">
        <f>I138</f>
        <v>0</v>
      </c>
      <c r="J139" s="9">
        <f>J138</f>
        <v>0</v>
      </c>
      <c r="L139" s="730" t="str">
        <f t="shared" si="17"/>
        <v>Subtotal - claimable under WCaG to f/y 2055/56</v>
      </c>
      <c r="M139" s="731">
        <f t="shared" ref="M139:R139" si="20">SUM(M131:M138)</f>
        <v>0</v>
      </c>
      <c r="N139" s="731">
        <f t="shared" si="20"/>
        <v>700</v>
      </c>
      <c r="O139" s="731">
        <f t="shared" si="20"/>
        <v>4800</v>
      </c>
      <c r="P139" s="731">
        <f t="shared" si="20"/>
        <v>3500</v>
      </c>
      <c r="Q139" s="732">
        <f t="shared" si="20"/>
        <v>14456</v>
      </c>
      <c r="R139" s="732">
        <f t="shared" si="20"/>
        <v>23456</v>
      </c>
      <c r="S139" s="734">
        <f>S138</f>
        <v>23456</v>
      </c>
      <c r="U139" s="735" t="str">
        <f t="shared" si="16"/>
        <v>Subtotal - claimable under WCaG to f/y 2055/56</v>
      </c>
      <c r="V139" s="736">
        <f>SUM(V131:V138)</f>
        <v>-23456</v>
      </c>
      <c r="W139" s="737">
        <f>W138</f>
        <v>-23456</v>
      </c>
      <c r="AA139" s="775"/>
    </row>
    <row r="140" spans="1:27" s="8" customFormat="1" ht="15" customHeight="1" x14ac:dyDescent="0.2">
      <c r="A140" s="80">
        <v>40</v>
      </c>
      <c r="B140" s="81">
        <v>57071</v>
      </c>
      <c r="C140" s="81">
        <v>58896</v>
      </c>
      <c r="D140" s="217">
        <v>0</v>
      </c>
      <c r="E140" s="68">
        <v>0</v>
      </c>
      <c r="F140" s="763">
        <v>0</v>
      </c>
      <c r="G140" s="756"/>
      <c r="H140" s="711">
        <f>IF(A140&lt;=$B$12,F140*'Income Data'!K$5,0)</f>
        <v>0</v>
      </c>
      <c r="I140" s="179">
        <f>$I$139+SUM(H$140:H140)</f>
        <v>0</v>
      </c>
      <c r="J140" s="179"/>
      <c r="L140" s="726">
        <f t="shared" si="17"/>
        <v>40</v>
      </c>
      <c r="M140" s="699"/>
      <c r="N140" s="699">
        <f>IF(A140&lt;=$B$12,IF($B$16="Single project",MAX(100,F140*'Cost Data'!$C$58),MAX(100/7,F140*'Cost Data'!$C$58)),0)</f>
        <v>100</v>
      </c>
      <c r="O140" s="700">
        <f>IF(A140&lt;=B$12,IF(B$16="Single project",'Cost Data'!C$53,(IF(B$16="Group of projects",'Cost Data'!D$53,0))),0)</f>
        <v>500</v>
      </c>
      <c r="P140" s="701">
        <f>IF(A140&lt;=B$12,IF(B$17="Yes",'Cost Data'!E$60,IF(B$9&lt;=50,'Cost Data'!D$60,'Cost Data'!C$60)),0)</f>
        <v>500</v>
      </c>
      <c r="Q140" s="709">
        <f>IF(A140&lt;=B$12,(IF(B$16="Single project",'Cost Data'!C$54,IF(B$16="Group of projects",'Cost Data'!D$54,0))),0)</f>
        <v>1882</v>
      </c>
      <c r="R140" s="727">
        <f t="shared" ref="R140:R146" si="21">SUM(M140:Q140)</f>
        <v>2982</v>
      </c>
      <c r="S140" s="728">
        <f>S138+R140</f>
        <v>26438</v>
      </c>
      <c r="U140" s="698">
        <f t="shared" si="16"/>
        <v>40</v>
      </c>
      <c r="V140" s="500">
        <f>IF(L140&lt;='Data Entry'!$B$12,H140-R140,0)</f>
        <v>-2982</v>
      </c>
      <c r="W140" s="705">
        <f>IF(L140&lt;='Data Entry'!$B$12,I140-S140,0)</f>
        <v>-26438</v>
      </c>
      <c r="AA140" s="775"/>
    </row>
    <row r="141" spans="1:27" s="8" customFormat="1" ht="15" customHeight="1" x14ac:dyDescent="0.2">
      <c r="A141" s="80">
        <v>50</v>
      </c>
      <c r="B141" s="81">
        <v>58897</v>
      </c>
      <c r="C141" s="81">
        <v>62548</v>
      </c>
      <c r="D141" s="217">
        <v>0</v>
      </c>
      <c r="E141" s="68">
        <v>0</v>
      </c>
      <c r="F141" s="763">
        <v>0</v>
      </c>
      <c r="G141" s="756"/>
      <c r="H141" s="711">
        <f>IF(A141&lt;=$B$12,F141*'Income Data'!K$5,0)</f>
        <v>0</v>
      </c>
      <c r="I141" s="180">
        <f>$I$139+SUM(H$140:H141)</f>
        <v>0</v>
      </c>
      <c r="J141" s="180"/>
      <c r="L141" s="726">
        <f t="shared" si="17"/>
        <v>50</v>
      </c>
      <c r="M141" s="699"/>
      <c r="N141" s="699">
        <f>IF(A141&lt;=$B$12,IF($B$16="Single project",MAX(100,F141*'Cost Data'!$C$58),MAX(100/7,F141*'Cost Data'!$C$58)),0)</f>
        <v>100</v>
      </c>
      <c r="O141" s="700">
        <f>IF(A141&lt;=B$12,IF(B$16="Single project",'Cost Data'!C$53,(IF(B$16="Group of projects",'Cost Data'!D$53,0))),0)</f>
        <v>500</v>
      </c>
      <c r="P141" s="701">
        <f>IF(A141&lt;=B$12,IF(B$17="Yes",'Cost Data'!E$60,IF(B$9&lt;=50,'Cost Data'!D$60,'Cost Data'!C$60)),0)</f>
        <v>500</v>
      </c>
      <c r="Q141" s="709">
        <f>IF(A141&lt;=B$12,(IF(B$16="Single project",'Cost Data'!C$54,IF(B$16="Group of projects",'Cost Data'!D$54,0))),0)</f>
        <v>1882</v>
      </c>
      <c r="R141" s="727">
        <f t="shared" si="21"/>
        <v>2982</v>
      </c>
      <c r="S141" s="728">
        <f t="shared" ref="S141:S146" si="22">S140+R141</f>
        <v>29420</v>
      </c>
      <c r="U141" s="698">
        <f t="shared" si="16"/>
        <v>50</v>
      </c>
      <c r="V141" s="500">
        <f>IF(L141&lt;='Data Entry'!$B$12,H141-R141,0)</f>
        <v>-2982</v>
      </c>
      <c r="W141" s="705">
        <f>IF(L141&lt;='Data Entry'!$B$12,I141-S141,0)</f>
        <v>-29420</v>
      </c>
      <c r="AA141" s="775"/>
    </row>
    <row r="142" spans="1:27" s="8" customFormat="1" ht="15" customHeight="1" x14ac:dyDescent="0.2">
      <c r="A142" s="80">
        <v>60</v>
      </c>
      <c r="B142" s="81">
        <v>62549</v>
      </c>
      <c r="C142" s="81">
        <v>66201</v>
      </c>
      <c r="D142" s="217">
        <v>0</v>
      </c>
      <c r="E142" s="68">
        <v>0</v>
      </c>
      <c r="F142" s="763">
        <v>0</v>
      </c>
      <c r="G142" s="756"/>
      <c r="H142" s="711">
        <f>IF(A142&lt;=$B$12,F142*'Income Data'!K$5,0)</f>
        <v>0</v>
      </c>
      <c r="I142" s="180">
        <f>$I$139+SUM(H$140:H142)</f>
        <v>0</v>
      </c>
      <c r="J142" s="180"/>
      <c r="L142" s="726">
        <f t="shared" si="17"/>
        <v>60</v>
      </c>
      <c r="M142" s="699"/>
      <c r="N142" s="699">
        <f>IF(A142&lt;=$B$12,IF($B$16="Single project",MAX(100,F142*'Cost Data'!$C$58),MAX(100/7,F142*'Cost Data'!$C$58)),0)</f>
        <v>100</v>
      </c>
      <c r="O142" s="700">
        <f>IF(A142&lt;=B$12,IF(B$16="Single project",'Cost Data'!C$53,(IF(B$16="Group of projects",'Cost Data'!D$53,0))),0)</f>
        <v>500</v>
      </c>
      <c r="P142" s="701">
        <f>IF(A142&lt;=B$12,IF(B$17="Yes",'Cost Data'!E$60,IF(B$9&lt;=50,'Cost Data'!D$60,'Cost Data'!C$60)),0)</f>
        <v>500</v>
      </c>
      <c r="Q142" s="709">
        <f>IF(A142&lt;=B$12,(IF(B$16="Single project",'Cost Data'!C$54,IF(B$16="Group of projects",'Cost Data'!D$54,0))),0)</f>
        <v>1882</v>
      </c>
      <c r="R142" s="727">
        <f t="shared" si="21"/>
        <v>2982</v>
      </c>
      <c r="S142" s="728">
        <f t="shared" si="22"/>
        <v>32402</v>
      </c>
      <c r="U142" s="698">
        <f t="shared" si="16"/>
        <v>60</v>
      </c>
      <c r="V142" s="500">
        <f>IF(L142&lt;='Data Entry'!$B$12,H142-R142,0)</f>
        <v>-2982</v>
      </c>
      <c r="W142" s="705">
        <f>IF(L142&lt;='Data Entry'!$B$12,I142-S142,0)</f>
        <v>-32402</v>
      </c>
      <c r="AA142" s="775"/>
    </row>
    <row r="143" spans="1:27" s="8" customFormat="1" ht="15" customHeight="1" x14ac:dyDescent="0.2">
      <c r="A143" s="80">
        <v>70</v>
      </c>
      <c r="B143" s="81">
        <v>66202</v>
      </c>
      <c r="C143" s="81">
        <v>69853</v>
      </c>
      <c r="D143" s="217">
        <v>0</v>
      </c>
      <c r="E143" s="68">
        <v>0</v>
      </c>
      <c r="F143" s="763">
        <v>0</v>
      </c>
      <c r="G143" s="756"/>
      <c r="H143" s="711">
        <f>IF(A143&lt;=$B$12,F143*'Income Data'!K$5,0)</f>
        <v>0</v>
      </c>
      <c r="I143" s="180">
        <f>$I$139+SUM(H$140:H143)</f>
        <v>0</v>
      </c>
      <c r="J143" s="180"/>
      <c r="L143" s="726">
        <f t="shared" si="17"/>
        <v>70</v>
      </c>
      <c r="M143" s="699"/>
      <c r="N143" s="699">
        <f>IF(A143&lt;=$B$12,IF($B$16="Single project",MAX(100,F143*'Cost Data'!$C$58),MAX(100/7,F143*'Cost Data'!$C$58)),0)</f>
        <v>100</v>
      </c>
      <c r="O143" s="700">
        <f>IF(A143&lt;=B$12,IF(B$16="Single project",'Cost Data'!C$53,(IF(B$16="Group of projects",'Cost Data'!D$53,0))),0)</f>
        <v>500</v>
      </c>
      <c r="P143" s="701">
        <f>IF(A143&lt;=B$12,IF(B$17="Yes",'Cost Data'!E$60,IF(B$9&lt;=50,'Cost Data'!D$60,'Cost Data'!C$60)),0)</f>
        <v>500</v>
      </c>
      <c r="Q143" s="709">
        <f>IF(A143&lt;=B$12,(IF(B$16="Single project",'Cost Data'!C$54,IF(B$16="Group of projects",'Cost Data'!D$54,0))),0)</f>
        <v>1882</v>
      </c>
      <c r="R143" s="727">
        <f t="shared" si="21"/>
        <v>2982</v>
      </c>
      <c r="S143" s="728">
        <f t="shared" si="22"/>
        <v>35384</v>
      </c>
      <c r="U143" s="698">
        <f t="shared" si="16"/>
        <v>70</v>
      </c>
      <c r="V143" s="500">
        <f>IF(L143&lt;='Data Entry'!$B$12,H143-R143,0)</f>
        <v>-2982</v>
      </c>
      <c r="W143" s="705">
        <f>IF(L143&lt;='Data Entry'!$B$12,I143-S143,0)</f>
        <v>-35384</v>
      </c>
      <c r="AA143" s="775"/>
    </row>
    <row r="144" spans="1:27" s="8" customFormat="1" ht="15" customHeight="1" x14ac:dyDescent="0.2">
      <c r="A144" s="80">
        <v>80</v>
      </c>
      <c r="B144" s="81">
        <v>69854</v>
      </c>
      <c r="C144" s="81">
        <v>73505</v>
      </c>
      <c r="D144" s="217">
        <v>0</v>
      </c>
      <c r="E144" s="68">
        <v>0</v>
      </c>
      <c r="F144" s="763">
        <v>0</v>
      </c>
      <c r="G144" s="756"/>
      <c r="H144" s="711">
        <f>IF(A144&lt;=$B$12,F144*'Income Data'!K$5,0)</f>
        <v>0</v>
      </c>
      <c r="I144" s="180">
        <f>$I$139+SUM(H$140:H144)</f>
        <v>0</v>
      </c>
      <c r="J144" s="180"/>
      <c r="L144" s="726">
        <f t="shared" si="17"/>
        <v>80</v>
      </c>
      <c r="M144" s="699"/>
      <c r="N144" s="699">
        <f>IF(A144&lt;=$B$12,IF($B$16="Single project",MAX(100,F144*'Cost Data'!$C$58),MAX(100/7,F144*'Cost Data'!$C$58)),0)</f>
        <v>100</v>
      </c>
      <c r="O144" s="700">
        <f>IF(A144&lt;=B$12,IF(B$16="Single project",'Cost Data'!C$53,(IF(B$16="Group of projects",'Cost Data'!D$53,0))),0)</f>
        <v>500</v>
      </c>
      <c r="P144" s="701">
        <f>IF(A144&lt;=B$12,IF(B$17="Yes",'Cost Data'!E$60,IF(B$9&lt;=50,'Cost Data'!D$60,'Cost Data'!C$60)),0)</f>
        <v>500</v>
      </c>
      <c r="Q144" s="709">
        <f>IF(A144&lt;=B$12,(IF(B$16="Single project",'Cost Data'!C$54,IF(B$16="Group of projects",'Cost Data'!D$54,0))),0)</f>
        <v>1882</v>
      </c>
      <c r="R144" s="727">
        <f t="shared" si="21"/>
        <v>2982</v>
      </c>
      <c r="S144" s="728">
        <f t="shared" si="22"/>
        <v>38366</v>
      </c>
      <c r="U144" s="698">
        <f t="shared" si="16"/>
        <v>80</v>
      </c>
      <c r="V144" s="500">
        <f>IF(L144&lt;='Data Entry'!$B$12,H144-R144,0)</f>
        <v>-2982</v>
      </c>
      <c r="W144" s="705">
        <f>IF(L144&lt;='Data Entry'!$B$12,I144-S144,0)</f>
        <v>-38366</v>
      </c>
      <c r="AA144" s="775"/>
    </row>
    <row r="145" spans="1:27" s="8" customFormat="1" ht="15" customHeight="1" x14ac:dyDescent="0.2">
      <c r="A145" s="82">
        <v>90</v>
      </c>
      <c r="B145" s="81">
        <v>73506</v>
      </c>
      <c r="C145" s="81">
        <v>77157</v>
      </c>
      <c r="D145" s="218">
        <v>0</v>
      </c>
      <c r="E145" s="70">
        <v>0</v>
      </c>
      <c r="F145" s="763">
        <v>0</v>
      </c>
      <c r="G145" s="756"/>
      <c r="H145" s="711">
        <f>IF(A145&lt;=$B$12,F145*'Income Data'!K$5,0)</f>
        <v>0</v>
      </c>
      <c r="I145" s="180">
        <f>$I$139+SUM(H$140:H145)</f>
        <v>0</v>
      </c>
      <c r="J145" s="180"/>
      <c r="L145" s="726">
        <f t="shared" si="17"/>
        <v>90</v>
      </c>
      <c r="M145" s="699"/>
      <c r="N145" s="699">
        <f>IF(A145&lt;=$B$12,IF($B$16="Single project",MAX(100,F145*'Cost Data'!$C$58),MAX(100/7,F145*'Cost Data'!$C$58)),0)</f>
        <v>100</v>
      </c>
      <c r="O145" s="700">
        <f>IF(A145&lt;=B$12,IF(B$16="Single project",'Cost Data'!C$53,(IF(B$16="Group of projects",'Cost Data'!D$53,0))),0)</f>
        <v>500</v>
      </c>
      <c r="P145" s="701">
        <f>IF(A145&lt;=B$12,IF(B$17="Yes",'Cost Data'!E$60,IF(B$9&lt;=50,'Cost Data'!D$60,'Cost Data'!C$60)),0)</f>
        <v>500</v>
      </c>
      <c r="Q145" s="709">
        <f>IF(A145&lt;=B$12,(IF(B$16="Single project",'Cost Data'!C$54,IF(B$16="Group of projects",'Cost Data'!D$54,0))),0)</f>
        <v>1882</v>
      </c>
      <c r="R145" s="727">
        <f t="shared" si="21"/>
        <v>2982</v>
      </c>
      <c r="S145" s="728">
        <f t="shared" si="22"/>
        <v>41348</v>
      </c>
      <c r="U145" s="698">
        <f t="shared" si="16"/>
        <v>90</v>
      </c>
      <c r="V145" s="500">
        <f>IF(L145&lt;='Data Entry'!$B$12,H145-R145,0)</f>
        <v>-2982</v>
      </c>
      <c r="W145" s="705">
        <f>IF(L145&lt;='Data Entry'!$B$12,I145-S145,0)</f>
        <v>-41348</v>
      </c>
      <c r="AA145" s="775"/>
    </row>
    <row r="146" spans="1:27" s="8" customFormat="1" ht="15" customHeight="1" thickBot="1" x14ac:dyDescent="0.25">
      <c r="A146" s="83">
        <v>100</v>
      </c>
      <c r="B146" s="84">
        <v>77158</v>
      </c>
      <c r="C146" s="84">
        <v>80810</v>
      </c>
      <c r="D146" s="219">
        <v>0</v>
      </c>
      <c r="E146" s="73">
        <v>0</v>
      </c>
      <c r="F146" s="764">
        <v>0</v>
      </c>
      <c r="G146" s="756"/>
      <c r="H146" s="711">
        <f>IF(A146&lt;=$B$12,F146*'Income Data'!K$5,0)</f>
        <v>0</v>
      </c>
      <c r="I146" s="181">
        <f>$I$139+SUM(H$140:H146)</f>
        <v>0</v>
      </c>
      <c r="J146" s="181"/>
      <c r="L146" s="726">
        <f t="shared" si="17"/>
        <v>100</v>
      </c>
      <c r="M146" s="699"/>
      <c r="N146" s="699">
        <f>IF(A146&lt;=$B$12,IF($B$16="Single project",MAX(100,F146*'Cost Data'!$C$58),MAX(100/7,F146*'Cost Data'!$C$58)),0)</f>
        <v>100</v>
      </c>
      <c r="O146" s="700">
        <f>IF(A146&lt;=B$12,IF(B$16="Single project",'Cost Data'!C$53,(IF(B$16="Group of projects",'Cost Data'!D$53,0))),0)</f>
        <v>500</v>
      </c>
      <c r="P146" s="701">
        <f>IF(A146&lt;=B$12,IF(B$17="Yes",'Cost Data'!E$60,IF(B$9&lt;=50,'Cost Data'!D$60,'Cost Data'!C$60)),0)</f>
        <v>500</v>
      </c>
      <c r="Q146" s="709">
        <f>IF(A146&lt;=B$12,(IF(B$16="Single project",'Cost Data'!C$54,IF(B$16="Group of projects",'Cost Data'!D$54,0))),0)</f>
        <v>1882</v>
      </c>
      <c r="R146" s="727">
        <f t="shared" si="21"/>
        <v>2982</v>
      </c>
      <c r="S146" s="728">
        <f t="shared" si="22"/>
        <v>44330</v>
      </c>
      <c r="U146" s="751">
        <f t="shared" si="16"/>
        <v>100</v>
      </c>
      <c r="V146" s="500">
        <f>IF(L146&lt;='Data Entry'!$B$12,H146-R146,0)</f>
        <v>-2982</v>
      </c>
      <c r="W146" s="705">
        <f>IF(L146&lt;='Data Entry'!$B$12,I146-S146,0)</f>
        <v>-44330</v>
      </c>
      <c r="AA146" s="775"/>
    </row>
    <row r="147" spans="1:27" s="8" customFormat="1" ht="15" customHeight="1" thickBot="1" x14ac:dyDescent="0.25">
      <c r="A147" s="226" t="s">
        <v>25</v>
      </c>
      <c r="B147" s="226"/>
      <c r="C147" s="224"/>
      <c r="D147" s="220">
        <v>0</v>
      </c>
      <c r="E147" s="765">
        <v>0</v>
      </c>
      <c r="F147" s="765">
        <v>0</v>
      </c>
      <c r="G147" s="759"/>
      <c r="H147" s="15">
        <f>SUM(H140:H146)</f>
        <v>0</v>
      </c>
      <c r="I147" s="9">
        <f>I146-I139</f>
        <v>0</v>
      </c>
      <c r="J147" s="9">
        <f>J146-J139</f>
        <v>0</v>
      </c>
      <c r="L147" s="739" t="str">
        <f t="shared" si="17"/>
        <v>Subtotal - remainder not claimable under WCaG</v>
      </c>
      <c r="M147" s="740">
        <f t="shared" ref="M147:R147" si="23">SUM(M140:M146)</f>
        <v>0</v>
      </c>
      <c r="N147" s="740">
        <f t="shared" si="23"/>
        <v>700</v>
      </c>
      <c r="O147" s="740">
        <f t="shared" si="23"/>
        <v>3500</v>
      </c>
      <c r="P147" s="740">
        <f t="shared" si="23"/>
        <v>3500</v>
      </c>
      <c r="Q147" s="741">
        <f t="shared" si="23"/>
        <v>13174</v>
      </c>
      <c r="R147" s="741">
        <f t="shared" si="23"/>
        <v>20874</v>
      </c>
      <c r="S147" s="752">
        <f>S146</f>
        <v>44330</v>
      </c>
      <c r="U147" s="730" t="s">
        <v>24</v>
      </c>
      <c r="V147" s="731">
        <f>SUM(V140:V146)</f>
        <v>-20874</v>
      </c>
      <c r="W147" s="742">
        <f>W146</f>
        <v>-44330</v>
      </c>
      <c r="AA147" s="775"/>
    </row>
    <row r="148" spans="1:27" s="8" customFormat="1" ht="15" customHeight="1" thickBot="1" x14ac:dyDescent="0.25">
      <c r="A148" s="227" t="s">
        <v>26</v>
      </c>
      <c r="B148" s="228"/>
      <c r="C148" s="228"/>
      <c r="D148" s="79">
        <v>0</v>
      </c>
      <c r="E148" s="79">
        <v>0</v>
      </c>
      <c r="F148" s="79">
        <v>0</v>
      </c>
      <c r="G148" s="758"/>
      <c r="H148" s="16">
        <f>H139+H147</f>
        <v>0</v>
      </c>
      <c r="I148" s="11">
        <f>I146</f>
        <v>0</v>
      </c>
      <c r="J148" s="11">
        <f>I148</f>
        <v>0</v>
      </c>
      <c r="L148" s="743" t="s">
        <v>12</v>
      </c>
      <c r="M148" s="744">
        <f t="shared" ref="M148:R148" si="24">M139+M147</f>
        <v>0</v>
      </c>
      <c r="N148" s="744">
        <f t="shared" si="24"/>
        <v>1400</v>
      </c>
      <c r="O148" s="744">
        <f t="shared" si="24"/>
        <v>8300</v>
      </c>
      <c r="P148" s="744">
        <f t="shared" si="24"/>
        <v>7000</v>
      </c>
      <c r="Q148" s="745">
        <f t="shared" si="24"/>
        <v>27630</v>
      </c>
      <c r="R148" s="745">
        <f t="shared" si="24"/>
        <v>44330</v>
      </c>
      <c r="S148" s="753">
        <f>S146</f>
        <v>44330</v>
      </c>
      <c r="U148" s="748" t="s">
        <v>12</v>
      </c>
      <c r="V148" s="749">
        <f>V139+V147</f>
        <v>-44330</v>
      </c>
      <c r="W148" s="750">
        <f>W146</f>
        <v>-44330</v>
      </c>
      <c r="AA148" s="775"/>
    </row>
    <row r="149" spans="1:27" s="8" customFormat="1" ht="13.5" thickBot="1" x14ac:dyDescent="0.25">
      <c r="A149" s="918"/>
      <c r="B149" s="919"/>
      <c r="C149" s="1038" t="s">
        <v>611</v>
      </c>
      <c r="D149" s="1036"/>
      <c r="E149" s="1036"/>
      <c r="F149" s="1037"/>
      <c r="G149" s="754"/>
      <c r="AA149" s="775"/>
    </row>
    <row r="150" spans="1:27" s="8" customFormat="1" ht="24" customHeight="1" x14ac:dyDescent="0.2">
      <c r="A150" s="798" t="s">
        <v>585</v>
      </c>
      <c r="E150" s="451"/>
      <c r="F150" s="777"/>
      <c r="AA150" s="775"/>
    </row>
    <row r="151" spans="1:27" s="8" customFormat="1" ht="43.5" customHeight="1" x14ac:dyDescent="0.2">
      <c r="A151" s="620" t="s">
        <v>107</v>
      </c>
      <c r="B151" s="619" t="s">
        <v>523</v>
      </c>
      <c r="C151" s="920"/>
      <c r="E151" s="889"/>
      <c r="F151" s="777"/>
      <c r="G151" s="889"/>
      <c r="H151" s="921" t="s">
        <v>219</v>
      </c>
      <c r="I151" s="436" t="s">
        <v>222</v>
      </c>
      <c r="J151" s="622" t="s">
        <v>306</v>
      </c>
      <c r="Z151" s="775"/>
    </row>
    <row r="152" spans="1:27" s="8" customFormat="1" ht="43.5" customHeight="1" x14ac:dyDescent="0.2">
      <c r="A152" s="922" t="s">
        <v>92</v>
      </c>
      <c r="B152" s="171">
        <v>0</v>
      </c>
      <c r="C152" s="1047" t="s">
        <v>614</v>
      </c>
      <c r="D152" s="1048"/>
      <c r="E152" s="1048"/>
      <c r="F152" s="1048"/>
      <c r="G152" s="793"/>
      <c r="H152" s="923" t="e">
        <f>VLOOKUP($B$6,'Income Foregone and BPS data'!$B$23:$C$26,2,FALSE)</f>
        <v>#N/A</v>
      </c>
      <c r="I152" s="924">
        <f>IF(B152&gt;0,B152*VLOOKUP($B$6&amp;$A152,'Income Foregone and BPS data'!$A$5:$E$20,5,FALSE),0)</f>
        <v>0</v>
      </c>
      <c r="J152" s="924">
        <f>IF($B152&gt;0,$B152*VLOOKUP($B$6&amp;$A152,'Income Foregone and BPS data'!$A$5:$E$20,4,FALSE),0)</f>
        <v>0</v>
      </c>
      <c r="Z152" s="775"/>
    </row>
    <row r="153" spans="1:27" s="8" customFormat="1" ht="22.5" customHeight="1" x14ac:dyDescent="0.2">
      <c r="A153" s="925" t="s">
        <v>427</v>
      </c>
      <c r="B153" s="171">
        <v>0</v>
      </c>
      <c r="C153" s="1006" t="s">
        <v>602</v>
      </c>
      <c r="E153" s="451"/>
      <c r="F153" s="777"/>
      <c r="G153" s="793"/>
      <c r="H153" s="926"/>
      <c r="I153" s="924">
        <f>IF(B153&gt;0,B153*VLOOKUP($B$6&amp;$A153,'Income Foregone and BPS data'!$A$5:$E$20,5,FALSE),0)</f>
        <v>0</v>
      </c>
      <c r="J153" s="924">
        <f>IF($B153&gt;0,$B153*VLOOKUP($B$6&amp;$A153,'Income Foregone and BPS data'!$A$5:$E$20,4,FALSE),0)</f>
        <v>0</v>
      </c>
      <c r="Z153" s="775"/>
    </row>
    <row r="154" spans="1:27" s="8" customFormat="1" ht="21.75" customHeight="1" x14ac:dyDescent="0.2">
      <c r="A154" s="927" t="s">
        <v>429</v>
      </c>
      <c r="B154" s="171">
        <v>0</v>
      </c>
      <c r="C154" s="1006" t="s">
        <v>613</v>
      </c>
      <c r="D154" s="451"/>
      <c r="E154" s="451"/>
      <c r="F154" s="666"/>
      <c r="H154" s="928"/>
      <c r="I154" s="924">
        <f>IF(B154&gt;0,B154*VLOOKUP($B$6&amp;$A154,'Income Foregone and BPS data'!$A$5:$E$20,5,FALSE),0)</f>
        <v>0</v>
      </c>
      <c r="J154" s="924">
        <f>IF($B154&gt;0,$B154*VLOOKUP($B$6&amp;$A154,'Income Foregone and BPS data'!$A$5:$E$20,4,FALSE),0)</f>
        <v>0</v>
      </c>
      <c r="Z154" s="775"/>
    </row>
    <row r="155" spans="1:27" s="8" customFormat="1" ht="23.25" customHeight="1" x14ac:dyDescent="0.2">
      <c r="A155" s="929" t="s">
        <v>194</v>
      </c>
      <c r="B155" s="171">
        <v>0</v>
      </c>
      <c r="C155" s="1006" t="s">
        <v>603</v>
      </c>
      <c r="D155" s="451"/>
      <c r="E155" s="451"/>
      <c r="F155" s="666"/>
      <c r="H155" s="928"/>
      <c r="I155" s="924">
        <f>IF(B155&gt;0,B155*VLOOKUP($B$6&amp;$A155,'Income Foregone and BPS data'!$A$5:$E$20,5,FALSE),0)</f>
        <v>0</v>
      </c>
      <c r="J155" s="924">
        <f>IF($B155&gt;0,$B155*VLOOKUP($B$6&amp;$A155,'Income Foregone and BPS data'!$A$5:$E$20,4,FALSE),0)</f>
        <v>0</v>
      </c>
      <c r="Z155" s="775"/>
    </row>
    <row r="156" spans="1:27" s="8" customFormat="1" ht="24.75" customHeight="1" x14ac:dyDescent="0.2">
      <c r="A156" s="620" t="s">
        <v>106</v>
      </c>
      <c r="B156" s="930">
        <f>SUM(B152:B155)</f>
        <v>0</v>
      </c>
      <c r="C156" s="931" t="s">
        <v>453</v>
      </c>
      <c r="D156" s="889"/>
      <c r="E156" s="889"/>
      <c r="F156" s="666"/>
      <c r="H156" s="932"/>
      <c r="I156" s="634">
        <f>SUM(I152:I155)</f>
        <v>0</v>
      </c>
      <c r="J156" s="634">
        <f>SUM(J152:J155)</f>
        <v>0</v>
      </c>
      <c r="K156" s="697"/>
      <c r="L156" s="697"/>
      <c r="M156" s="697"/>
      <c r="N156" s="697"/>
      <c r="O156" s="697"/>
      <c r="Z156" s="775"/>
    </row>
    <row r="157" spans="1:27" s="8" customFormat="1" ht="17.25" customHeight="1" x14ac:dyDescent="0.2">
      <c r="A157" s="1016"/>
      <c r="B157" s="1017"/>
      <c r="C157" s="1014"/>
      <c r="D157" s="889"/>
      <c r="E157" s="889"/>
      <c r="F157" s="666"/>
      <c r="H157" s="896"/>
      <c r="I157" s="1015"/>
      <c r="J157" s="1015"/>
      <c r="K157" s="697"/>
      <c r="L157" s="697"/>
      <c r="M157" s="697"/>
      <c r="N157" s="697"/>
      <c r="O157" s="697"/>
      <c r="Z157" s="775"/>
    </row>
    <row r="158" spans="1:27" ht="22.5" customHeight="1" x14ac:dyDescent="0.2">
      <c r="A158" s="889" t="s">
        <v>596</v>
      </c>
      <c r="B158" s="1018"/>
    </row>
    <row r="159" spans="1:27" ht="14.25" customHeight="1" x14ac:dyDescent="0.2">
      <c r="A159" s="167"/>
      <c r="B159" s="167" t="s">
        <v>97</v>
      </c>
      <c r="C159" s="1013" t="s">
        <v>96</v>
      </c>
      <c r="D159" s="167" t="s">
        <v>113</v>
      </c>
      <c r="E159" s="1045" t="s">
        <v>114</v>
      </c>
      <c r="F159" s="1046"/>
    </row>
    <row r="160" spans="1:27" s="608" customFormat="1" ht="63.75" x14ac:dyDescent="0.2">
      <c r="A160" s="251" t="s">
        <v>591</v>
      </c>
      <c r="B160" s="1033" t="s">
        <v>605</v>
      </c>
      <c r="C160" s="1012" t="s">
        <v>588</v>
      </c>
      <c r="D160" s="1031" t="s">
        <v>598</v>
      </c>
      <c r="E160" s="1056" t="s">
        <v>592</v>
      </c>
      <c r="F160" s="1046"/>
      <c r="AA160" s="1011"/>
    </row>
    <row r="161" spans="1:27" s="608" customFormat="1" ht="129.75" customHeight="1" x14ac:dyDescent="0.2">
      <c r="A161" s="251" t="s">
        <v>595</v>
      </c>
      <c r="B161" s="1012" t="s">
        <v>589</v>
      </c>
      <c r="C161" s="1012" t="s">
        <v>590</v>
      </c>
      <c r="D161" s="1012" t="s">
        <v>604</v>
      </c>
      <c r="E161" s="1043" t="s">
        <v>597</v>
      </c>
      <c r="F161" s="1044"/>
      <c r="AA161" s="1011"/>
    </row>
    <row r="162" spans="1:27" x14ac:dyDescent="0.2">
      <c r="D162" s="478"/>
      <c r="E162" s="450"/>
      <c r="F162" s="1020"/>
    </row>
    <row r="163" spans="1:27" x14ac:dyDescent="0.2">
      <c r="D163" s="1019"/>
      <c r="E163" s="450"/>
      <c r="F163" s="1022"/>
    </row>
    <row r="164" spans="1:27" x14ac:dyDescent="0.2">
      <c r="D164" s="1021"/>
      <c r="E164" s="450"/>
      <c r="F164" s="1022"/>
    </row>
    <row r="165" spans="1:27" x14ac:dyDescent="0.2">
      <c r="D165" s="1019"/>
      <c r="E165" s="450"/>
      <c r="F165" s="1020"/>
    </row>
  </sheetData>
  <sheetProtection password="C395" sheet="1" objects="1" scenarios="1"/>
  <mergeCells count="10">
    <mergeCell ref="D57:E57"/>
    <mergeCell ref="D82:F82"/>
    <mergeCell ref="E92:E94"/>
    <mergeCell ref="E87:E88"/>
    <mergeCell ref="E160:F160"/>
    <mergeCell ref="E161:F161"/>
    <mergeCell ref="E159:F159"/>
    <mergeCell ref="C152:F152"/>
    <mergeCell ref="D83:F83"/>
    <mergeCell ref="D84:F84"/>
  </mergeCells>
  <conditionalFormatting sqref="B69">
    <cfRule type="expression" dxfId="60" priority="80" stopIfTrue="1">
      <formula>$B$69&gt;$B$9</formula>
    </cfRule>
    <cfRule type="expression" dxfId="59" priority="87" stopIfTrue="1">
      <formula>$B$69&lt;$B$9</formula>
    </cfRule>
    <cfRule type="expression" dxfId="58" priority="88" stopIfTrue="1">
      <formula>$B$69=$B$9</formula>
    </cfRule>
  </conditionalFormatting>
  <conditionalFormatting sqref="B54">
    <cfRule type="expression" dxfId="57" priority="78">
      <formula>OR($B$54&gt;$B$9,$B$54&lt;$B$9)</formula>
    </cfRule>
    <cfRule type="expression" dxfId="56" priority="79">
      <formula>$B$54=$B$9</formula>
    </cfRule>
  </conditionalFormatting>
  <conditionalFormatting sqref="B156">
    <cfRule type="expression" dxfId="55" priority="122" stopIfTrue="1">
      <formula>ROUND($B$156,2)=ROUND($B$10,2)</formula>
    </cfRule>
    <cfRule type="expression" dxfId="54" priority="123" stopIfTrue="1">
      <formula>OR(ROUND($B$156,2)&gt;ROUND($B$10,2),ROUND(B156,2)&lt;ROUND(B10,2))</formula>
    </cfRule>
  </conditionalFormatting>
  <conditionalFormatting sqref="B32">
    <cfRule type="expression" dxfId="53" priority="74" stopIfTrue="1">
      <formula>$B$32&gt;20*$B$9</formula>
    </cfRule>
  </conditionalFormatting>
  <conditionalFormatting sqref="C152:C155 C159">
    <cfRule type="cellIs" dxfId="52" priority="66" stopIfTrue="1" operator="equal">
      <formula>ERROR</formula>
    </cfRule>
  </conditionalFormatting>
  <conditionalFormatting sqref="C152:C155 C159">
    <cfRule type="containsText" dxfId="51" priority="65" stopIfTrue="1" operator="containsText" text="ERROR">
      <formula>NOT(ISERROR(SEARCH("ERROR",C152)))</formula>
    </cfRule>
  </conditionalFormatting>
  <conditionalFormatting sqref="B55">
    <cfRule type="expression" dxfId="50" priority="64" stopIfTrue="1">
      <formula>$B$55&gt;$B$9</formula>
    </cfRule>
  </conditionalFormatting>
  <conditionalFormatting sqref="D59">
    <cfRule type="expression" dxfId="49" priority="62" stopIfTrue="1">
      <formula>AND($D$59="Yes",$E$59="Yes")</formula>
    </cfRule>
  </conditionalFormatting>
  <conditionalFormatting sqref="E59">
    <cfRule type="expression" dxfId="48" priority="61" stopIfTrue="1">
      <formula>AND($D$59="Yes",$E$59="Yes")</formula>
    </cfRule>
  </conditionalFormatting>
  <conditionalFormatting sqref="D60">
    <cfRule type="expression" dxfId="47" priority="58" stopIfTrue="1">
      <formula>AND($D$60="Yes",$E$60="Yes")</formula>
    </cfRule>
  </conditionalFormatting>
  <conditionalFormatting sqref="E60">
    <cfRule type="expression" dxfId="46" priority="57" stopIfTrue="1">
      <formula>AND($D$60="Yes",$E$60="Yes")</formula>
    </cfRule>
  </conditionalFormatting>
  <conditionalFormatting sqref="D61">
    <cfRule type="expression" dxfId="45" priority="56" stopIfTrue="1">
      <formula>AND($D$61="Yes",$E$61="Yes")</formula>
    </cfRule>
  </conditionalFormatting>
  <conditionalFormatting sqref="E61">
    <cfRule type="expression" dxfId="44" priority="55" stopIfTrue="1">
      <formula>AND($D$61="Yes",$E$61="Yes")</formula>
    </cfRule>
  </conditionalFormatting>
  <conditionalFormatting sqref="D65">
    <cfRule type="expression" dxfId="43" priority="54" stopIfTrue="1">
      <formula>AND($D$65="Yes",$E$65="Yes")</formula>
    </cfRule>
  </conditionalFormatting>
  <conditionalFormatting sqref="E65">
    <cfRule type="expression" dxfId="42" priority="53" stopIfTrue="1">
      <formula>AND($D$65="Yes",$E$65="Yes")</formula>
    </cfRule>
  </conditionalFormatting>
  <conditionalFormatting sqref="D66">
    <cfRule type="expression" dxfId="41" priority="52" stopIfTrue="1">
      <formula>AND($D$66="Yes",$E$66="Yes")</formula>
    </cfRule>
  </conditionalFormatting>
  <conditionalFormatting sqref="E66">
    <cfRule type="expression" dxfId="40" priority="51" stopIfTrue="1">
      <formula>AND($D$66="Yes",$E$66="Yes")</formula>
    </cfRule>
  </conditionalFormatting>
  <conditionalFormatting sqref="D88">
    <cfRule type="expression" dxfId="39" priority="43" stopIfTrue="1">
      <formula>$C$88="Annual"</formula>
    </cfRule>
  </conditionalFormatting>
  <conditionalFormatting sqref="D92">
    <cfRule type="expression" dxfId="38" priority="39" stopIfTrue="1">
      <formula>$C$92="Annual"</formula>
    </cfRule>
  </conditionalFormatting>
  <conditionalFormatting sqref="D93">
    <cfRule type="expression" dxfId="37" priority="38" stopIfTrue="1">
      <formula>$C$93="Annual"</formula>
    </cfRule>
  </conditionalFormatting>
  <conditionalFormatting sqref="D94">
    <cfRule type="expression" dxfId="36" priority="37" stopIfTrue="1">
      <formula>$C$94="Annual"</formula>
    </cfRule>
  </conditionalFormatting>
  <conditionalFormatting sqref="D62">
    <cfRule type="expression" dxfId="35" priority="36" stopIfTrue="1">
      <formula>AND($D$62="Yes",$E$62="Yes")</formula>
    </cfRule>
  </conditionalFormatting>
  <conditionalFormatting sqref="E62">
    <cfRule type="expression" dxfId="34" priority="35" stopIfTrue="1">
      <formula>AND($D$62="Yes",$E$62="Yes")</formula>
    </cfRule>
  </conditionalFormatting>
  <conditionalFormatting sqref="B29">
    <cfRule type="expression" dxfId="33" priority="124" stopIfTrue="1">
      <formula>$B$29&lt;=$C$29</formula>
    </cfRule>
    <cfRule type="expression" dxfId="32" priority="125" stopIfTrue="1">
      <formula>$B$29&gt;$C$29</formula>
    </cfRule>
  </conditionalFormatting>
  <conditionalFormatting sqref="B31">
    <cfRule type="expression" dxfId="31" priority="126" stopIfTrue="1">
      <formula>$B$31&gt;$C$31</formula>
    </cfRule>
  </conditionalFormatting>
  <conditionalFormatting sqref="B30">
    <cfRule type="expression" dxfId="30" priority="127" stopIfTrue="1">
      <formula>$B$30&gt;$C$30</formula>
    </cfRule>
  </conditionalFormatting>
  <conditionalFormatting sqref="B34:B35">
    <cfRule type="expression" dxfId="29" priority="128" stopIfTrue="1">
      <formula>SUM($B$34:$B$35)&gt;$C$34</formula>
    </cfRule>
  </conditionalFormatting>
  <conditionalFormatting sqref="D129">
    <cfRule type="expression" dxfId="28" priority="11">
      <formula>OR(D$119+D$127&lt;D$128,D$119+D$127&gt;D$128)</formula>
    </cfRule>
    <cfRule type="expression" dxfId="27" priority="23">
      <formula>D$128=D$119+D$127</formula>
    </cfRule>
  </conditionalFormatting>
  <conditionalFormatting sqref="E129">
    <cfRule type="expression" dxfId="26" priority="10">
      <formula>OR(E$119+E$127&lt;E$128,E$119+E$127&gt;E$128)</formula>
    </cfRule>
    <cfRule type="expression" dxfId="25" priority="22">
      <formula>E$128=$E$119+$E$127</formula>
    </cfRule>
  </conditionalFormatting>
  <conditionalFormatting sqref="F129">
    <cfRule type="expression" dxfId="24" priority="9">
      <formula>OR(F$119+F$127&gt;F$128,F$119+F$127&lt;F$128)</formula>
    </cfRule>
    <cfRule type="expression" dxfId="23" priority="21">
      <formula>F$128=$F$119+$F$127</formula>
    </cfRule>
  </conditionalFormatting>
  <conditionalFormatting sqref="B45">
    <cfRule type="expression" dxfId="22" priority="16">
      <formula>OR($B$45&gt;$B$9,$B$45&lt;$B$9)</formula>
    </cfRule>
    <cfRule type="expression" dxfId="21" priority="17">
      <formula>$B$45=$B$9</formula>
    </cfRule>
  </conditionalFormatting>
  <conditionalFormatting sqref="A7:B8">
    <cfRule type="expression" dxfId="20" priority="5">
      <formula>NOT($B$6="ENGLAND")</formula>
    </cfRule>
  </conditionalFormatting>
  <conditionalFormatting sqref="A8:B8">
    <cfRule type="expression" dxfId="19" priority="3">
      <formula>$B$7="No"</formula>
    </cfRule>
  </conditionalFormatting>
  <conditionalFormatting sqref="C6">
    <cfRule type="expression" dxfId="18" priority="2">
      <formula>$B$6="Select one"</formula>
    </cfRule>
    <cfRule type="expression" dxfId="17" priority="1">
      <formula>$B$6=NOT("Select Country")</formula>
    </cfRule>
  </conditionalFormatting>
  <conditionalFormatting sqref="D112">
    <cfRule type="expression" dxfId="16" priority="12">
      <formula>OR(D111&gt;SUM(D100:D110),D111&lt;SUM($D$100:$D$110))</formula>
    </cfRule>
    <cfRule type="expression" dxfId="15" priority="27">
      <formula>D111=SUM(D101:D110)</formula>
    </cfRule>
  </conditionalFormatting>
  <conditionalFormatting sqref="E112">
    <cfRule type="expression" dxfId="14" priority="13">
      <formula>OR(E111&gt;SUM(E100:E110),E111&lt;SUM($E$100:$E$110))</formula>
    </cfRule>
    <cfRule type="expression" dxfId="13" priority="25">
      <formula>E111=SUM($E$100:$E$110)</formula>
    </cfRule>
  </conditionalFormatting>
  <conditionalFormatting sqref="F112">
    <cfRule type="expression" dxfId="12" priority="14">
      <formula>OR(F111&gt;SUM(F100:F110),F111&lt;SUM($F$100:$F$110))</formula>
    </cfRule>
    <cfRule type="expression" dxfId="11" priority="24">
      <formula>F111=SUM($F$100:$F$110)</formula>
    </cfRule>
  </conditionalFormatting>
  <conditionalFormatting sqref="F149">
    <cfRule type="expression" dxfId="10" priority="6">
      <formula>OR(F139+F147&lt;F148,F139+F147&gt;F148)</formula>
    </cfRule>
    <cfRule type="expression" dxfId="9" priority="18">
      <formula>F148=$F$139+$F$147</formula>
    </cfRule>
  </conditionalFormatting>
  <conditionalFormatting sqref="E149">
    <cfRule type="expression" dxfId="8" priority="7">
      <formula>OR(E$139+E$147&lt;E$148,E$139+E$147&gt;E$148)</formula>
    </cfRule>
    <cfRule type="expression" dxfId="7" priority="19">
      <formula>E$148=$E$139+$E$147</formula>
    </cfRule>
  </conditionalFormatting>
  <conditionalFormatting sqref="D149">
    <cfRule type="expression" dxfId="6" priority="8">
      <formula>OR(D$139+D$147&lt;D$148,D$139+D$147&gt;D$148)</formula>
    </cfRule>
    <cfRule type="expression" dxfId="5" priority="20">
      <formula>D$148=$D$139+$D$147</formula>
    </cfRule>
  </conditionalFormatting>
  <conditionalFormatting sqref="C38">
    <cfRule type="expression" dxfId="4" priority="33">
      <formula>$C$37&lt;=$B$9</formula>
    </cfRule>
    <cfRule type="expression" dxfId="3" priority="34">
      <formula>$C$37&gt;$B$9</formula>
    </cfRule>
  </conditionalFormatting>
  <dataValidations count="31">
    <dataValidation type="textLength" allowBlank="1" showInputMessage="1" showErrorMessage="1" sqref="B56 B14 B47 B39 A73:A74 B76">
      <formula1>0</formula1>
      <formula2>30</formula2>
    </dataValidation>
    <dataValidation type="decimal" operator="greaterThan" allowBlank="1" showErrorMessage="1" errorTitle="Invalid Entry" error="Please enter numbers only" sqref="B10">
      <formula1>0</formula1>
    </dataValidation>
    <dataValidation type="textLength" operator="equal" allowBlank="1" showErrorMessage="1" errorTitle="Invalid Entry" error="Please enter the project ID" sqref="B5">
      <formula1>15</formula1>
    </dataValidation>
    <dataValidation type="textLength" operator="lessThan" allowBlank="1" showInputMessage="1" showErrorMessage="1" errorTitle="Invalid Entry" error="Limit entry to 20 characters." sqref="A88 A92:A94">
      <formula1>20</formula1>
    </dataValidation>
    <dataValidation type="date" showErrorMessage="1" errorTitle="Invalid Entry" error="Please enter date in the format dd/mm/yyyy" sqref="B13:F13">
      <formula1>40544</formula1>
      <formula2>73415</formula2>
    </dataValidation>
    <dataValidation type="whole" allowBlank="1" showErrorMessage="1" errorTitle="Invalid Entry" error="Please enter start year in the format yyyy" sqref="B11:F11">
      <formula1>2018</formula1>
      <formula2>2030</formula2>
    </dataValidation>
    <dataValidation type="list" allowBlank="1" showInputMessage="1" showErrorMessage="1" sqref="D59:F62 B17 E65:F66 D64:D66 D68:E68 B84 B37 B73:B75 B21">
      <formula1>"Select one, Yes, No"</formula1>
    </dataValidation>
    <dataValidation type="list" allowBlank="1" showInputMessage="1" showErrorMessage="1" sqref="B8">
      <formula1>"5-Yearly, 10-Yearly"</formula1>
    </dataValidation>
    <dataValidation type="list" allowBlank="1" showInputMessage="1" showErrorMessage="1" sqref="B15">
      <formula1>"UP FRONT, ONCE VERIFIED"</formula1>
    </dataValidation>
    <dataValidation type="list" allowBlank="1" showInputMessage="1" showErrorMessage="1" sqref="B12">
      <formula1>"40,45,50,55,60,65,70,75,80,85,90,95,100"</formula1>
    </dataValidation>
    <dataValidation type="list" allowBlank="1" showInputMessage="1" showErrorMessage="1" sqref="B16">
      <formula1>"Single project, Group of projects"</formula1>
    </dataValidation>
    <dataValidation type="list" allowBlank="1" showInputMessage="1" showErrorMessage="1" sqref="B6 B8">
      <formula1>"Select one, England,Scotland,Wales,Northern_Ireland"</formula1>
    </dataValidation>
    <dataValidation operator="greaterThanOrEqual" allowBlank="1" showInputMessage="1" showErrorMessage="1" sqref="B69:B70"/>
    <dataValidation type="list" allowBlank="1" showInputMessage="1" showErrorMessage="1" sqref="C88 C92:C94">
      <formula1>"Select, None,One-off in Year X (Specify), Annual"</formula1>
    </dataValidation>
    <dataValidation type="whole" allowBlank="1" showInputMessage="1" showErrorMessage="1" sqref="D88 D92:D94">
      <formula1>$B$11</formula1>
      <formula2>$B$11+$B$12</formula2>
    </dataValidation>
    <dataValidation allowBlank="1" showInputMessage="1" showErrorMessage="1" promptTitle="Site Preparation" prompt="Please select site disturbance/ ground prep category" sqref="A55 A42:A44"/>
    <dataValidation operator="lessThanOrEqual" allowBlank="1" showErrorMessage="1" errorTitle="Value too high" error="Please insert a value lower than 20m per net planted hectare." sqref="D32 B32:B36 I32 C32:C33 D38:D46 C46 C39:C44"/>
    <dataValidation type="list" allowBlank="1" showInputMessage="1" showErrorMessage="1" sqref="G4">
      <formula1>"3%,4%,3.5% Declining"</formula1>
    </dataValidation>
    <dataValidation type="decimal" operator="lessThanOrEqual" allowBlank="1" showErrorMessage="1" errorTitle="Value too high" error="Please insert a value lower than 20m per net planted hectare." sqref="E45">
      <formula1>E16*20</formula1>
    </dataValidation>
    <dataValidation type="decimal" operator="lessThanOrEqual" allowBlank="1" showErrorMessage="1" errorTitle="Value too high" error="Please insert a value lower than 20m per net planted hectare." sqref="E33">
      <formula1>E11*20</formula1>
    </dataValidation>
    <dataValidation allowBlank="1" showInputMessage="1" showErrorMessage="1" errorTitle="Track Creation" error="Max claimable is 40m/net hectare" sqref="B31"/>
    <dataValidation type="decimal" operator="lessThanOrEqual" allowBlank="1" showErrorMessage="1" errorTitle="Value too high" error="Please insert a value lower than 20m per net planted hectare." sqref="E43">
      <formula1>#REF!*20</formula1>
    </dataValidation>
    <dataValidation showInputMessage="1" showErrorMessage="1" sqref="E92"/>
    <dataValidation type="decimal" operator="greaterThanOrEqual" allowBlank="1" showErrorMessage="1" errorTitle="Invalid Entry" error="Please enter numbers only" sqref="B9">
      <formula1>0</formula1>
    </dataValidation>
    <dataValidation type="decimal" operator="lessThanOrEqual" allowBlank="1" showErrorMessage="1" errorTitle="Value too high" error="Please insert a value lower than 20m per net planted hectare." sqref="B46 E46">
      <formula1>B16*20</formula1>
    </dataValidation>
    <dataValidation type="decimal" allowBlank="1" showInputMessage="1" showErrorMessage="1" error="Enter a number greater than zero and less than or equal to 5" sqref="C65:C66 C59:C62">
      <formula1>0.01</formula1>
      <formula2>5</formula2>
    </dataValidation>
    <dataValidation type="list" allowBlank="1" showInputMessage="1" showErrorMessage="1" sqref="B7">
      <formula1>"Yes, No"</formula1>
    </dataValidation>
    <dataValidation type="decimal" operator="lessThanOrEqual" allowBlank="1" showErrorMessage="1" errorTitle="Value too high" error="Please insert a value lower than 20m per net planted hectare." sqref="E44">
      <formula1>E7*20</formula1>
    </dataValidation>
    <dataValidation type="decimal" operator="lessThanOrEqual" allowBlank="1" showErrorMessage="1" errorTitle="Value too high" error="Please insert a value lower than 20m per net planted hectare." sqref="E38:E41 B38">
      <formula1>B11*20</formula1>
    </dataValidation>
    <dataValidation type="decimal" operator="lessThanOrEqual" allowBlank="1" showErrorMessage="1" errorTitle="Value too high" error="Please insert a value lower than 20m per net planted hectare." sqref="E42">
      <formula1>E14*20</formula1>
    </dataValidation>
    <dataValidation type="list" allowBlank="1" showInputMessage="1" showErrorMessage="1" sqref="B7">
      <formula1>"Select one,Yes,No"</formula1>
    </dataValidation>
  </dataValidations>
  <hyperlinks>
    <hyperlink ref="K32" r:id="rId1" display="https://www.ruralpayments.org/publicsite/futures/topics/all-schemes/forestry-grant-scheme/forest-infrastructure/"/>
    <hyperlink ref="C160" r:id="rId2" location="/metadata/f4e358c1-df06-4107-bfd2-03f7581ecb07"/>
    <hyperlink ref="B161" r:id="rId3"/>
    <hyperlink ref="B160" r:id="rId4"/>
    <hyperlink ref="C161" r:id="rId5" display="Scotland's Environment Web -&gt; Search 'National Scale Land Capability for Agriculture 1:250 000' and for more detail in some areas 'Land Capability for Agriculture Partial Cover 1:50,000'"/>
    <hyperlink ref="D161" r:id="rId6" location="/"/>
  </hyperlinks>
  <pageMargins left="0.7" right="0.7" top="0.75" bottom="0.75" header="0.3" footer="0.3"/>
  <pageSetup paperSize="9" orientation="portrait" horizontalDpi="90" verticalDpi="90" r:id="rId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CY101"/>
  <sheetViews>
    <sheetView zoomScale="90" zoomScaleNormal="90" workbookViewId="0">
      <pane xSplit="3" ySplit="7" topLeftCell="D8" activePane="bottomRight" state="frozen"/>
      <selection pane="topRight" activeCell="D1" sqref="D1"/>
      <selection pane="bottomLeft" activeCell="A16" sqref="A16"/>
      <selection pane="bottomRight"/>
    </sheetView>
  </sheetViews>
  <sheetFormatPr defaultColWidth="9" defaultRowHeight="12.75" x14ac:dyDescent="0.2"/>
  <cols>
    <col min="1" max="1" width="17.25" style="6" customWidth="1"/>
    <col min="2" max="2" width="37.625" style="6" customWidth="1"/>
    <col min="3" max="3" width="16.125" style="265" customWidth="1"/>
    <col min="4" max="103" width="12.625" style="6" customWidth="1"/>
    <col min="104" max="16384" width="9" style="450"/>
  </cols>
  <sheetData>
    <row r="1" spans="1:103" ht="13.5" thickBot="1" x14ac:dyDescent="0.25"/>
    <row r="2" spans="1:103" s="313" customFormat="1" ht="15" customHeight="1" x14ac:dyDescent="0.2">
      <c r="A2" s="426" t="s">
        <v>0</v>
      </c>
      <c r="B2" s="424" t="str">
        <f>'Data Entry'!B4</f>
        <v>&lt;Project name&gt;</v>
      </c>
      <c r="C2" s="425"/>
      <c r="D2" s="415"/>
      <c r="E2" s="415"/>
      <c r="H2" s="315"/>
      <c r="I2" s="315"/>
      <c r="J2" s="315"/>
      <c r="K2" s="315"/>
      <c r="L2" s="315"/>
      <c r="M2" s="315"/>
      <c r="N2" s="315"/>
      <c r="O2" s="315"/>
      <c r="P2" s="315"/>
      <c r="Q2" s="315"/>
      <c r="R2" s="315"/>
      <c r="S2" s="312"/>
      <c r="Y2" s="312"/>
      <c r="Z2" s="312"/>
      <c r="AA2" s="312"/>
      <c r="AB2" s="312"/>
      <c r="AC2" s="312"/>
      <c r="AD2" s="312"/>
      <c r="AE2" s="312"/>
      <c r="AF2" s="312"/>
      <c r="AG2" s="312"/>
      <c r="AH2" s="312"/>
      <c r="AI2" s="312"/>
      <c r="AJ2" s="312"/>
      <c r="AK2" s="312"/>
      <c r="AL2" s="312"/>
      <c r="AM2" s="312"/>
      <c r="AN2" s="312"/>
      <c r="AO2" s="312"/>
      <c r="AP2" s="312"/>
      <c r="AQ2" s="312"/>
      <c r="AR2" s="312"/>
      <c r="AS2" s="312"/>
      <c r="AT2" s="312"/>
      <c r="AU2" s="312"/>
      <c r="AV2" s="312"/>
      <c r="AW2" s="312"/>
      <c r="AX2" s="312"/>
      <c r="AY2" s="312"/>
      <c r="AZ2" s="312"/>
      <c r="BA2" s="312"/>
      <c r="BB2" s="312"/>
      <c r="BC2" s="312"/>
      <c r="BD2" s="312"/>
      <c r="BE2" s="312"/>
      <c r="BF2" s="312"/>
      <c r="BG2" s="312"/>
      <c r="BH2" s="312"/>
      <c r="BI2" s="312"/>
      <c r="BJ2" s="312"/>
      <c r="BK2" s="312"/>
      <c r="BL2" s="312"/>
      <c r="BM2" s="312"/>
      <c r="BN2" s="312"/>
      <c r="BO2" s="312"/>
      <c r="BP2" s="312"/>
      <c r="BQ2" s="312"/>
      <c r="BR2" s="312"/>
      <c r="BS2" s="312"/>
      <c r="BT2" s="312"/>
      <c r="BU2" s="312"/>
      <c r="BV2" s="312"/>
      <c r="BW2" s="312"/>
      <c r="BX2" s="312"/>
      <c r="BY2" s="312"/>
      <c r="BZ2" s="312"/>
      <c r="CA2" s="312"/>
      <c r="CB2" s="312"/>
      <c r="CC2" s="312"/>
      <c r="CD2" s="312"/>
      <c r="CE2" s="312"/>
      <c r="CF2" s="312"/>
      <c r="CG2" s="312"/>
      <c r="CH2" s="312"/>
      <c r="CI2" s="312"/>
      <c r="CJ2" s="312"/>
      <c r="CK2" s="312"/>
      <c r="CL2" s="312"/>
      <c r="CM2" s="312"/>
      <c r="CN2" s="312"/>
      <c r="CO2" s="312"/>
      <c r="CP2" s="312"/>
      <c r="CQ2" s="312"/>
      <c r="CR2" s="312"/>
      <c r="CS2" s="312"/>
      <c r="CT2" s="312"/>
      <c r="CU2" s="312"/>
      <c r="CV2" s="312"/>
    </row>
    <row r="3" spans="1:103" s="313" customFormat="1" ht="23.25" customHeight="1" thickBot="1" x14ac:dyDescent="0.25">
      <c r="A3" s="427" t="s">
        <v>1</v>
      </c>
      <c r="B3" s="1057">
        <f>'Data Entry'!B5</f>
        <v>104000000000000</v>
      </c>
      <c r="C3" s="1058"/>
      <c r="F3" s="685"/>
      <c r="G3" s="685"/>
      <c r="H3" s="312"/>
      <c r="I3" s="312"/>
      <c r="J3" s="312"/>
      <c r="K3" s="312"/>
      <c r="L3" s="312"/>
      <c r="M3" s="312"/>
      <c r="N3" s="312"/>
      <c r="O3" s="312"/>
      <c r="Q3" s="312"/>
      <c r="R3" s="312"/>
      <c r="S3" s="312"/>
      <c r="Y3" s="312"/>
      <c r="Z3" s="312"/>
      <c r="AA3" s="312"/>
      <c r="AB3" s="312"/>
      <c r="AC3" s="312"/>
      <c r="AD3" s="312"/>
      <c r="AE3" s="312"/>
      <c r="AF3" s="312"/>
      <c r="AG3" s="312"/>
      <c r="AH3" s="312"/>
      <c r="AI3" s="312"/>
      <c r="AJ3" s="312"/>
      <c r="AK3" s="312"/>
      <c r="AL3" s="312"/>
      <c r="AM3" s="312"/>
      <c r="AN3" s="312"/>
      <c r="AO3" s="312"/>
      <c r="AP3" s="312"/>
      <c r="AQ3" s="312"/>
      <c r="AR3" s="312"/>
      <c r="AS3" s="312"/>
      <c r="AT3" s="312"/>
      <c r="AU3" s="312"/>
      <c r="AV3" s="312"/>
      <c r="AW3" s="312"/>
      <c r="AX3" s="312"/>
      <c r="AY3" s="312"/>
      <c r="AZ3" s="312"/>
      <c r="BA3" s="312"/>
      <c r="BB3" s="312"/>
      <c r="BC3" s="312"/>
      <c r="BD3" s="312"/>
      <c r="BE3" s="312"/>
      <c r="BF3" s="312"/>
      <c r="BG3" s="312"/>
      <c r="BH3" s="312"/>
      <c r="BI3" s="312"/>
      <c r="BJ3" s="312"/>
      <c r="BK3" s="312"/>
      <c r="BL3" s="312"/>
      <c r="BM3" s="312"/>
      <c r="BN3" s="312"/>
      <c r="BO3" s="312"/>
      <c r="BP3" s="312"/>
      <c r="BQ3" s="312"/>
      <c r="BR3" s="312"/>
      <c r="BS3" s="312"/>
      <c r="BT3" s="312"/>
      <c r="BU3" s="312"/>
      <c r="BV3" s="312"/>
      <c r="BW3" s="312"/>
      <c r="BX3" s="312"/>
      <c r="BY3" s="312"/>
      <c r="BZ3" s="312"/>
      <c r="CA3" s="312"/>
      <c r="CB3" s="312"/>
      <c r="CC3" s="312"/>
      <c r="CD3" s="312"/>
      <c r="CE3" s="312"/>
      <c r="CF3" s="312"/>
      <c r="CG3" s="312"/>
      <c r="CH3" s="312"/>
      <c r="CI3" s="312"/>
      <c r="CJ3" s="312"/>
      <c r="CK3" s="312"/>
      <c r="CL3" s="312"/>
      <c r="CM3" s="312"/>
      <c r="CN3" s="312"/>
      <c r="CO3" s="312"/>
      <c r="CP3" s="312"/>
      <c r="CQ3" s="312"/>
      <c r="CR3" s="312"/>
      <c r="CS3" s="312"/>
      <c r="CT3" s="312"/>
      <c r="CU3" s="312"/>
      <c r="CV3" s="312"/>
    </row>
    <row r="4" spans="1:103" ht="15" customHeight="1" thickBot="1" x14ac:dyDescent="0.25"/>
    <row r="5" spans="1:103" ht="15" customHeight="1" thickBot="1" x14ac:dyDescent="0.25">
      <c r="A5" s="33" t="s">
        <v>9</v>
      </c>
      <c r="B5" s="34"/>
      <c r="C5" s="266" t="s">
        <v>12</v>
      </c>
      <c r="D5" s="132">
        <f>'Data Entry'!B11</f>
        <v>2022</v>
      </c>
      <c r="E5" s="34">
        <f>D5+1</f>
        <v>2023</v>
      </c>
      <c r="F5" s="34">
        <f t="shared" ref="F5:BQ5" si="0">E5+1</f>
        <v>2024</v>
      </c>
      <c r="G5" s="34">
        <f t="shared" si="0"/>
        <v>2025</v>
      </c>
      <c r="H5" s="34">
        <f t="shared" si="0"/>
        <v>2026</v>
      </c>
      <c r="I5" s="34">
        <f>H5+1</f>
        <v>2027</v>
      </c>
      <c r="J5" s="34">
        <f t="shared" si="0"/>
        <v>2028</v>
      </c>
      <c r="K5" s="34">
        <f t="shared" si="0"/>
        <v>2029</v>
      </c>
      <c r="L5" s="34">
        <f t="shared" si="0"/>
        <v>2030</v>
      </c>
      <c r="M5" s="34">
        <f t="shared" si="0"/>
        <v>2031</v>
      </c>
      <c r="N5" s="34">
        <f>M5+1</f>
        <v>2032</v>
      </c>
      <c r="O5" s="34">
        <f t="shared" si="0"/>
        <v>2033</v>
      </c>
      <c r="P5" s="34">
        <f>O5+1</f>
        <v>2034</v>
      </c>
      <c r="Q5" s="34">
        <f>P5+1</f>
        <v>2035</v>
      </c>
      <c r="R5" s="34">
        <f t="shared" si="0"/>
        <v>2036</v>
      </c>
      <c r="S5" s="34">
        <f t="shared" si="0"/>
        <v>2037</v>
      </c>
      <c r="T5" s="34">
        <f>S5+1</f>
        <v>2038</v>
      </c>
      <c r="U5" s="34">
        <f t="shared" si="0"/>
        <v>2039</v>
      </c>
      <c r="V5" s="34">
        <f t="shared" si="0"/>
        <v>2040</v>
      </c>
      <c r="W5" s="34">
        <f t="shared" si="0"/>
        <v>2041</v>
      </c>
      <c r="X5" s="34">
        <f t="shared" si="0"/>
        <v>2042</v>
      </c>
      <c r="Y5" s="34">
        <f t="shared" si="0"/>
        <v>2043</v>
      </c>
      <c r="Z5" s="34">
        <f t="shared" si="0"/>
        <v>2044</v>
      </c>
      <c r="AA5" s="34">
        <f t="shared" si="0"/>
        <v>2045</v>
      </c>
      <c r="AB5" s="34">
        <f t="shared" si="0"/>
        <v>2046</v>
      </c>
      <c r="AC5" s="34">
        <f t="shared" si="0"/>
        <v>2047</v>
      </c>
      <c r="AD5" s="34">
        <f t="shared" si="0"/>
        <v>2048</v>
      </c>
      <c r="AE5" s="34">
        <f t="shared" si="0"/>
        <v>2049</v>
      </c>
      <c r="AF5" s="34">
        <f t="shared" si="0"/>
        <v>2050</v>
      </c>
      <c r="AG5" s="34">
        <f t="shared" si="0"/>
        <v>2051</v>
      </c>
      <c r="AH5" s="34">
        <f t="shared" si="0"/>
        <v>2052</v>
      </c>
      <c r="AI5" s="34">
        <f t="shared" si="0"/>
        <v>2053</v>
      </c>
      <c r="AJ5" s="34">
        <f t="shared" si="0"/>
        <v>2054</v>
      </c>
      <c r="AK5" s="34">
        <f t="shared" si="0"/>
        <v>2055</v>
      </c>
      <c r="AL5" s="34">
        <f t="shared" si="0"/>
        <v>2056</v>
      </c>
      <c r="AM5" s="34">
        <f t="shared" si="0"/>
        <v>2057</v>
      </c>
      <c r="AN5" s="34">
        <f t="shared" si="0"/>
        <v>2058</v>
      </c>
      <c r="AO5" s="159">
        <f t="shared" si="0"/>
        <v>2059</v>
      </c>
      <c r="AP5" s="34">
        <f t="shared" si="0"/>
        <v>2060</v>
      </c>
      <c r="AQ5" s="34">
        <f t="shared" si="0"/>
        <v>2061</v>
      </c>
      <c r="AR5" s="34">
        <f t="shared" si="0"/>
        <v>2062</v>
      </c>
      <c r="AS5" s="34">
        <f t="shared" si="0"/>
        <v>2063</v>
      </c>
      <c r="AT5" s="34">
        <f t="shared" si="0"/>
        <v>2064</v>
      </c>
      <c r="AU5" s="34">
        <f t="shared" si="0"/>
        <v>2065</v>
      </c>
      <c r="AV5" s="34">
        <f t="shared" si="0"/>
        <v>2066</v>
      </c>
      <c r="AW5" s="34">
        <f t="shared" si="0"/>
        <v>2067</v>
      </c>
      <c r="AX5" s="34">
        <f t="shared" si="0"/>
        <v>2068</v>
      </c>
      <c r="AY5" s="34">
        <f t="shared" si="0"/>
        <v>2069</v>
      </c>
      <c r="AZ5" s="34">
        <f t="shared" si="0"/>
        <v>2070</v>
      </c>
      <c r="BA5" s="34">
        <f t="shared" si="0"/>
        <v>2071</v>
      </c>
      <c r="BB5" s="34">
        <f t="shared" si="0"/>
        <v>2072</v>
      </c>
      <c r="BC5" s="34">
        <f t="shared" si="0"/>
        <v>2073</v>
      </c>
      <c r="BD5" s="34">
        <f t="shared" si="0"/>
        <v>2074</v>
      </c>
      <c r="BE5" s="34">
        <f t="shared" si="0"/>
        <v>2075</v>
      </c>
      <c r="BF5" s="34">
        <f t="shared" si="0"/>
        <v>2076</v>
      </c>
      <c r="BG5" s="34">
        <f t="shared" si="0"/>
        <v>2077</v>
      </c>
      <c r="BH5" s="34">
        <f t="shared" si="0"/>
        <v>2078</v>
      </c>
      <c r="BI5" s="34">
        <f t="shared" si="0"/>
        <v>2079</v>
      </c>
      <c r="BJ5" s="34">
        <f t="shared" si="0"/>
        <v>2080</v>
      </c>
      <c r="BK5" s="159">
        <f t="shared" si="0"/>
        <v>2081</v>
      </c>
      <c r="BL5" s="34">
        <f t="shared" si="0"/>
        <v>2082</v>
      </c>
      <c r="BM5" s="34">
        <f t="shared" si="0"/>
        <v>2083</v>
      </c>
      <c r="BN5" s="34">
        <f t="shared" si="0"/>
        <v>2084</v>
      </c>
      <c r="BO5" s="34">
        <f t="shared" si="0"/>
        <v>2085</v>
      </c>
      <c r="BP5" s="34">
        <f t="shared" si="0"/>
        <v>2086</v>
      </c>
      <c r="BQ5" s="34">
        <f t="shared" si="0"/>
        <v>2087</v>
      </c>
      <c r="BR5" s="34">
        <f t="shared" ref="BR5:CW5" si="1">BQ5+1</f>
        <v>2088</v>
      </c>
      <c r="BS5" s="34">
        <f t="shared" si="1"/>
        <v>2089</v>
      </c>
      <c r="BT5" s="34">
        <f t="shared" si="1"/>
        <v>2090</v>
      </c>
      <c r="BU5" s="34">
        <f t="shared" si="1"/>
        <v>2091</v>
      </c>
      <c r="BV5" s="34">
        <f t="shared" si="1"/>
        <v>2092</v>
      </c>
      <c r="BW5" s="34">
        <f t="shared" si="1"/>
        <v>2093</v>
      </c>
      <c r="BX5" s="34">
        <f t="shared" si="1"/>
        <v>2094</v>
      </c>
      <c r="BY5" s="34">
        <f t="shared" si="1"/>
        <v>2095</v>
      </c>
      <c r="BZ5" s="34">
        <f t="shared" si="1"/>
        <v>2096</v>
      </c>
      <c r="CA5" s="159">
        <f t="shared" si="1"/>
        <v>2097</v>
      </c>
      <c r="CB5" s="34">
        <f t="shared" si="1"/>
        <v>2098</v>
      </c>
      <c r="CC5" s="34">
        <f t="shared" si="1"/>
        <v>2099</v>
      </c>
      <c r="CD5" s="34">
        <f t="shared" si="1"/>
        <v>2100</v>
      </c>
      <c r="CE5" s="34">
        <f t="shared" si="1"/>
        <v>2101</v>
      </c>
      <c r="CF5" s="34">
        <f t="shared" si="1"/>
        <v>2102</v>
      </c>
      <c r="CG5" s="34">
        <f t="shared" si="1"/>
        <v>2103</v>
      </c>
      <c r="CH5" s="34">
        <f t="shared" si="1"/>
        <v>2104</v>
      </c>
      <c r="CI5" s="34">
        <f t="shared" si="1"/>
        <v>2105</v>
      </c>
      <c r="CJ5" s="34">
        <f t="shared" si="1"/>
        <v>2106</v>
      </c>
      <c r="CK5" s="34">
        <f t="shared" si="1"/>
        <v>2107</v>
      </c>
      <c r="CL5" s="34">
        <f t="shared" si="1"/>
        <v>2108</v>
      </c>
      <c r="CM5" s="34">
        <f t="shared" si="1"/>
        <v>2109</v>
      </c>
      <c r="CN5" s="34">
        <f t="shared" si="1"/>
        <v>2110</v>
      </c>
      <c r="CO5" s="34">
        <f t="shared" si="1"/>
        <v>2111</v>
      </c>
      <c r="CP5" s="34">
        <f t="shared" si="1"/>
        <v>2112</v>
      </c>
      <c r="CQ5" s="34">
        <f t="shared" si="1"/>
        <v>2113</v>
      </c>
      <c r="CR5" s="34">
        <f t="shared" si="1"/>
        <v>2114</v>
      </c>
      <c r="CS5" s="34">
        <f t="shared" si="1"/>
        <v>2115</v>
      </c>
      <c r="CT5" s="34">
        <f t="shared" si="1"/>
        <v>2116</v>
      </c>
      <c r="CU5" s="34">
        <f t="shared" si="1"/>
        <v>2117</v>
      </c>
      <c r="CV5" s="34">
        <f t="shared" si="1"/>
        <v>2118</v>
      </c>
      <c r="CW5" s="34">
        <f t="shared" si="1"/>
        <v>2119</v>
      </c>
      <c r="CX5" s="34">
        <f>CW5+1</f>
        <v>2120</v>
      </c>
      <c r="CY5" s="34">
        <f>CX5+1</f>
        <v>2121</v>
      </c>
    </row>
    <row r="6" spans="1:103" s="451" customFormat="1" ht="15" customHeight="1" thickBot="1" x14ac:dyDescent="0.25">
      <c r="A6" s="35" t="s">
        <v>3</v>
      </c>
      <c r="B6" s="36"/>
      <c r="C6" s="267" t="s">
        <v>13</v>
      </c>
      <c r="D6" s="37">
        <v>0</v>
      </c>
      <c r="E6" s="37">
        <v>1</v>
      </c>
      <c r="F6" s="37">
        <v>2</v>
      </c>
      <c r="G6" s="37">
        <v>3</v>
      </c>
      <c r="H6" s="37">
        <v>4</v>
      </c>
      <c r="I6" s="37">
        <v>5</v>
      </c>
      <c r="J6" s="37">
        <v>6</v>
      </c>
      <c r="K6" s="37">
        <v>7</v>
      </c>
      <c r="L6" s="37">
        <v>8</v>
      </c>
      <c r="M6" s="37">
        <v>9</v>
      </c>
      <c r="N6" s="37">
        <v>10</v>
      </c>
      <c r="O6" s="37">
        <v>11</v>
      </c>
      <c r="P6" s="37">
        <v>12</v>
      </c>
      <c r="Q6" s="37">
        <v>13</v>
      </c>
      <c r="R6" s="37">
        <v>14</v>
      </c>
      <c r="S6" s="37">
        <v>15</v>
      </c>
      <c r="T6" s="37">
        <v>16</v>
      </c>
      <c r="U6" s="37">
        <v>17</v>
      </c>
      <c r="V6" s="37">
        <v>18</v>
      </c>
      <c r="W6" s="37">
        <v>19</v>
      </c>
      <c r="X6" s="37">
        <v>20</v>
      </c>
      <c r="Y6" s="37">
        <v>21</v>
      </c>
      <c r="Z6" s="37">
        <v>22</v>
      </c>
      <c r="AA6" s="37">
        <v>23</v>
      </c>
      <c r="AB6" s="37">
        <v>24</v>
      </c>
      <c r="AC6" s="37">
        <v>25</v>
      </c>
      <c r="AD6" s="37">
        <v>26</v>
      </c>
      <c r="AE6" s="37">
        <v>27</v>
      </c>
      <c r="AF6" s="37">
        <v>28</v>
      </c>
      <c r="AG6" s="37">
        <v>29</v>
      </c>
      <c r="AH6" s="37">
        <v>30</v>
      </c>
      <c r="AI6" s="37">
        <v>31</v>
      </c>
      <c r="AJ6" s="37">
        <v>32</v>
      </c>
      <c r="AK6" s="37">
        <v>33</v>
      </c>
      <c r="AL6" s="37">
        <v>34</v>
      </c>
      <c r="AM6" s="37">
        <v>35</v>
      </c>
      <c r="AN6" s="37">
        <v>36</v>
      </c>
      <c r="AO6" s="160">
        <v>37</v>
      </c>
      <c r="AP6" s="37">
        <v>38</v>
      </c>
      <c r="AQ6" s="37">
        <v>39</v>
      </c>
      <c r="AR6" s="37">
        <v>40</v>
      </c>
      <c r="AS6" s="37">
        <v>41</v>
      </c>
      <c r="AT6" s="37">
        <v>42</v>
      </c>
      <c r="AU6" s="37">
        <v>43</v>
      </c>
      <c r="AV6" s="37">
        <v>44</v>
      </c>
      <c r="AW6" s="37">
        <v>45</v>
      </c>
      <c r="AX6" s="37">
        <v>46</v>
      </c>
      <c r="AY6" s="37">
        <v>47</v>
      </c>
      <c r="AZ6" s="37">
        <v>48</v>
      </c>
      <c r="BA6" s="37">
        <v>49</v>
      </c>
      <c r="BB6" s="37">
        <v>50</v>
      </c>
      <c r="BC6" s="37">
        <v>51</v>
      </c>
      <c r="BD6" s="37">
        <v>52</v>
      </c>
      <c r="BE6" s="37">
        <v>53</v>
      </c>
      <c r="BF6" s="37">
        <v>54</v>
      </c>
      <c r="BG6" s="37">
        <v>55</v>
      </c>
      <c r="BH6" s="37">
        <v>56</v>
      </c>
      <c r="BI6" s="37">
        <v>57</v>
      </c>
      <c r="BJ6" s="37">
        <v>58</v>
      </c>
      <c r="BK6" s="160">
        <v>59</v>
      </c>
      <c r="BL6" s="37">
        <v>60</v>
      </c>
      <c r="BM6" s="37">
        <v>61</v>
      </c>
      <c r="BN6" s="37">
        <v>62</v>
      </c>
      <c r="BO6" s="37">
        <v>63</v>
      </c>
      <c r="BP6" s="37">
        <v>64</v>
      </c>
      <c r="BQ6" s="37">
        <v>65</v>
      </c>
      <c r="BR6" s="37">
        <v>66</v>
      </c>
      <c r="BS6" s="37">
        <v>67</v>
      </c>
      <c r="BT6" s="37">
        <v>68</v>
      </c>
      <c r="BU6" s="37">
        <v>69</v>
      </c>
      <c r="BV6" s="37">
        <v>70</v>
      </c>
      <c r="BW6" s="37">
        <v>71</v>
      </c>
      <c r="BX6" s="37">
        <v>72</v>
      </c>
      <c r="BY6" s="37">
        <v>73</v>
      </c>
      <c r="BZ6" s="37">
        <v>74</v>
      </c>
      <c r="CA6" s="160">
        <v>75</v>
      </c>
      <c r="CB6" s="37">
        <v>76</v>
      </c>
      <c r="CC6" s="37">
        <v>77</v>
      </c>
      <c r="CD6" s="37">
        <v>78</v>
      </c>
      <c r="CE6" s="37">
        <v>79</v>
      </c>
      <c r="CF6" s="37">
        <v>80</v>
      </c>
      <c r="CG6" s="37">
        <v>81</v>
      </c>
      <c r="CH6" s="37">
        <v>82</v>
      </c>
      <c r="CI6" s="37">
        <v>83</v>
      </c>
      <c r="CJ6" s="37">
        <v>84</v>
      </c>
      <c r="CK6" s="37">
        <v>85</v>
      </c>
      <c r="CL6" s="37">
        <v>86</v>
      </c>
      <c r="CM6" s="37">
        <v>87</v>
      </c>
      <c r="CN6" s="37">
        <v>88</v>
      </c>
      <c r="CO6" s="37">
        <v>89</v>
      </c>
      <c r="CP6" s="37">
        <v>90</v>
      </c>
      <c r="CQ6" s="37">
        <v>91</v>
      </c>
      <c r="CR6" s="37">
        <v>92</v>
      </c>
      <c r="CS6" s="37">
        <v>93</v>
      </c>
      <c r="CT6" s="37">
        <v>94</v>
      </c>
      <c r="CU6" s="37">
        <v>95</v>
      </c>
      <c r="CV6" s="37">
        <v>96</v>
      </c>
      <c r="CW6" s="37">
        <v>97</v>
      </c>
      <c r="CX6" s="37">
        <v>98</v>
      </c>
      <c r="CY6" s="37">
        <v>99</v>
      </c>
    </row>
    <row r="7" spans="1:103" ht="15" customHeight="1" x14ac:dyDescent="0.2">
      <c r="A7" s="38" t="s">
        <v>2</v>
      </c>
      <c r="B7" s="39" t="s">
        <v>40</v>
      </c>
      <c r="C7" s="268"/>
      <c r="D7" s="40"/>
      <c r="E7" s="40"/>
      <c r="F7" s="40"/>
      <c r="G7" s="40"/>
      <c r="H7" s="40"/>
      <c r="I7" s="40"/>
      <c r="J7" s="40"/>
      <c r="K7" s="40"/>
      <c r="L7" s="40"/>
      <c r="M7" s="40"/>
      <c r="N7" s="40"/>
      <c r="O7" s="40"/>
      <c r="P7" s="40"/>
      <c r="Q7" s="40"/>
      <c r="R7" s="40"/>
      <c r="S7" s="40"/>
      <c r="T7" s="40"/>
      <c r="U7" s="40"/>
      <c r="V7" s="40"/>
      <c r="W7" s="40"/>
      <c r="X7" s="40"/>
      <c r="Y7" s="40"/>
      <c r="Z7" s="40"/>
      <c r="AA7" s="40"/>
      <c r="AB7" s="40"/>
      <c r="AC7" s="40"/>
      <c r="AD7" s="40"/>
      <c r="AE7" s="40"/>
      <c r="AF7" s="40"/>
      <c r="AG7" s="40"/>
      <c r="AH7" s="40"/>
      <c r="AI7" s="40"/>
      <c r="AJ7" s="40"/>
      <c r="AK7" s="40"/>
      <c r="AL7" s="40"/>
      <c r="AM7" s="40"/>
      <c r="AN7" s="40"/>
      <c r="AO7" s="161"/>
      <c r="AP7" s="40"/>
      <c r="AQ7" s="40"/>
      <c r="AR7" s="40"/>
      <c r="AS7" s="40"/>
      <c r="AT7" s="40"/>
      <c r="AU7" s="40"/>
      <c r="AV7" s="40"/>
      <c r="AW7" s="40"/>
      <c r="AX7" s="40"/>
      <c r="AY7" s="40"/>
      <c r="AZ7" s="40"/>
      <c r="BA7" s="40"/>
      <c r="BB7" s="40"/>
      <c r="BC7" s="40"/>
      <c r="BD7" s="40"/>
      <c r="BE7" s="40"/>
      <c r="BF7" s="40"/>
      <c r="BG7" s="40"/>
      <c r="BH7" s="40"/>
      <c r="BI7" s="40"/>
      <c r="BJ7" s="40"/>
      <c r="BK7" s="161"/>
      <c r="BL7" s="40"/>
      <c r="BM7" s="40"/>
      <c r="BN7" s="40"/>
      <c r="BO7" s="40"/>
      <c r="BP7" s="40"/>
      <c r="BQ7" s="40"/>
      <c r="BR7" s="40"/>
      <c r="BS7" s="40"/>
      <c r="BT7" s="40"/>
      <c r="BU7" s="40"/>
      <c r="BV7" s="40"/>
      <c r="BW7" s="40"/>
      <c r="BX7" s="40"/>
      <c r="BY7" s="40"/>
      <c r="BZ7" s="40"/>
      <c r="CA7" s="161"/>
      <c r="CB7" s="40"/>
      <c r="CC7" s="40"/>
      <c r="CD7" s="40"/>
      <c r="CE7" s="40"/>
      <c r="CF7" s="40"/>
      <c r="CG7" s="40"/>
      <c r="CH7" s="40"/>
      <c r="CI7" s="40"/>
      <c r="CJ7" s="40"/>
      <c r="CK7" s="40"/>
      <c r="CL7" s="40"/>
      <c r="CM7" s="40"/>
      <c r="CN7" s="40"/>
      <c r="CO7" s="40"/>
      <c r="CP7" s="40"/>
      <c r="CQ7" s="40"/>
      <c r="CR7" s="40"/>
      <c r="CS7" s="40"/>
      <c r="CT7" s="40"/>
      <c r="CU7" s="40"/>
      <c r="CV7" s="40"/>
      <c r="CW7" s="40"/>
      <c r="CX7" s="40"/>
      <c r="CY7" s="40"/>
    </row>
    <row r="8" spans="1:103" ht="15" customHeight="1" x14ac:dyDescent="0.2">
      <c r="A8" s="1060" t="s">
        <v>492</v>
      </c>
      <c r="B8" s="328" t="s">
        <v>396</v>
      </c>
      <c r="C8" s="310">
        <f t="shared" ref="C8:C33" si="2">SUM(D8:CY8)</f>
        <v>0</v>
      </c>
      <c r="D8" s="386">
        <f>'Data Entry'!H21</f>
        <v>0</v>
      </c>
      <c r="E8" s="387"/>
      <c r="F8" s="387"/>
      <c r="G8" s="387"/>
      <c r="H8" s="387"/>
      <c r="I8" s="387"/>
      <c r="J8" s="387"/>
      <c r="K8" s="387"/>
      <c r="L8" s="387"/>
      <c r="M8" s="387"/>
      <c r="N8" s="387"/>
      <c r="O8" s="387"/>
      <c r="P8" s="387"/>
      <c r="Q8" s="387"/>
      <c r="R8" s="387"/>
      <c r="S8" s="387"/>
      <c r="T8" s="387"/>
      <c r="U8" s="387"/>
      <c r="V8" s="387"/>
      <c r="W8" s="387"/>
      <c r="X8" s="387"/>
      <c r="Y8" s="387"/>
      <c r="Z8" s="387"/>
      <c r="AA8" s="387"/>
      <c r="AB8" s="387"/>
      <c r="AC8" s="387"/>
      <c r="AD8" s="387"/>
      <c r="AE8" s="387"/>
      <c r="AF8" s="387"/>
      <c r="AG8" s="387"/>
      <c r="AH8" s="387"/>
      <c r="AI8" s="387"/>
      <c r="AJ8" s="387"/>
      <c r="AK8" s="387"/>
      <c r="AL8" s="387"/>
      <c r="AM8" s="387"/>
      <c r="AN8" s="387"/>
      <c r="AO8" s="388"/>
      <c r="AP8" s="387"/>
      <c r="AQ8" s="387"/>
      <c r="AR8" s="387"/>
      <c r="AS8" s="387"/>
      <c r="AT8" s="387"/>
      <c r="AU8" s="387"/>
      <c r="AV8" s="387"/>
      <c r="AW8" s="387"/>
      <c r="AX8" s="387"/>
      <c r="AY8" s="387"/>
      <c r="AZ8" s="387"/>
      <c r="BA8" s="387"/>
      <c r="BB8" s="387"/>
      <c r="BC8" s="387"/>
      <c r="BD8" s="387"/>
      <c r="BE8" s="387"/>
      <c r="BF8" s="387"/>
      <c r="BG8" s="387"/>
      <c r="BH8" s="387"/>
      <c r="BI8" s="387"/>
      <c r="BJ8" s="387"/>
      <c r="BK8" s="388"/>
      <c r="BL8" s="387"/>
      <c r="BM8" s="387"/>
      <c r="BN8" s="387"/>
      <c r="BO8" s="387"/>
      <c r="BP8" s="387"/>
      <c r="BQ8" s="387"/>
      <c r="BR8" s="387"/>
      <c r="BS8" s="387"/>
      <c r="BT8" s="387"/>
      <c r="BU8" s="387"/>
      <c r="BV8" s="387"/>
      <c r="BW8" s="387"/>
      <c r="BX8" s="387"/>
      <c r="BY8" s="387"/>
      <c r="BZ8" s="387"/>
      <c r="CA8" s="388"/>
      <c r="CB8" s="387"/>
      <c r="CC8" s="387"/>
      <c r="CD8" s="387"/>
      <c r="CE8" s="387"/>
      <c r="CF8" s="387"/>
      <c r="CG8" s="387"/>
      <c r="CH8" s="387"/>
      <c r="CI8" s="387"/>
      <c r="CJ8" s="387"/>
      <c r="CK8" s="387"/>
      <c r="CL8" s="387"/>
      <c r="CM8" s="387"/>
      <c r="CN8" s="387"/>
      <c r="CO8" s="387"/>
      <c r="CP8" s="387"/>
      <c r="CQ8" s="387"/>
      <c r="CR8" s="387"/>
      <c r="CS8" s="387"/>
      <c r="CT8" s="387"/>
      <c r="CU8" s="387"/>
      <c r="CV8" s="387"/>
      <c r="CW8" s="387"/>
      <c r="CX8" s="387"/>
      <c r="CY8" s="387"/>
    </row>
    <row r="9" spans="1:103" ht="15" customHeight="1" x14ac:dyDescent="0.2">
      <c r="A9" s="1061"/>
      <c r="B9" s="328" t="s">
        <v>356</v>
      </c>
      <c r="C9" s="310">
        <f t="shared" si="2"/>
        <v>0</v>
      </c>
      <c r="D9" s="386">
        <f>'Data Entry'!G45</f>
        <v>0</v>
      </c>
      <c r="E9" s="387"/>
      <c r="F9" s="387"/>
      <c r="G9" s="387"/>
      <c r="H9" s="387"/>
      <c r="I9" s="387"/>
      <c r="J9" s="387"/>
      <c r="K9" s="387"/>
      <c r="L9" s="387"/>
      <c r="M9" s="387"/>
      <c r="N9" s="387"/>
      <c r="O9" s="387"/>
      <c r="P9" s="387"/>
      <c r="Q9" s="387"/>
      <c r="R9" s="387"/>
      <c r="S9" s="387"/>
      <c r="T9" s="387"/>
      <c r="U9" s="387"/>
      <c r="V9" s="387"/>
      <c r="W9" s="387"/>
      <c r="X9" s="387"/>
      <c r="Y9" s="387"/>
      <c r="Z9" s="387"/>
      <c r="AA9" s="387"/>
      <c r="AB9" s="387"/>
      <c r="AC9" s="387"/>
      <c r="AD9" s="387"/>
      <c r="AE9" s="387"/>
      <c r="AF9" s="387"/>
      <c r="AG9" s="387"/>
      <c r="AH9" s="387"/>
      <c r="AI9" s="387"/>
      <c r="AJ9" s="387"/>
      <c r="AK9" s="387"/>
      <c r="AL9" s="387"/>
      <c r="AM9" s="387"/>
      <c r="AN9" s="387"/>
      <c r="AO9" s="388"/>
      <c r="AP9" s="387"/>
      <c r="AQ9" s="387"/>
      <c r="AR9" s="387"/>
      <c r="AS9" s="387"/>
      <c r="AT9" s="387"/>
      <c r="AU9" s="387"/>
      <c r="AV9" s="387"/>
      <c r="AW9" s="387"/>
      <c r="AX9" s="387"/>
      <c r="AY9" s="387"/>
      <c r="AZ9" s="387"/>
      <c r="BA9" s="387"/>
      <c r="BB9" s="387"/>
      <c r="BC9" s="387"/>
      <c r="BD9" s="387"/>
      <c r="BE9" s="387"/>
      <c r="BF9" s="387"/>
      <c r="BG9" s="387"/>
      <c r="BH9" s="387"/>
      <c r="BI9" s="387"/>
      <c r="BJ9" s="387"/>
      <c r="BK9" s="388"/>
      <c r="BL9" s="387"/>
      <c r="BM9" s="387"/>
      <c r="BN9" s="387"/>
      <c r="BO9" s="387"/>
      <c r="BP9" s="387"/>
      <c r="BQ9" s="387"/>
      <c r="BR9" s="387"/>
      <c r="BS9" s="387"/>
      <c r="BT9" s="387"/>
      <c r="BU9" s="387"/>
      <c r="BV9" s="387"/>
      <c r="BW9" s="387"/>
      <c r="BX9" s="387"/>
      <c r="BY9" s="387"/>
      <c r="BZ9" s="387"/>
      <c r="CA9" s="388"/>
      <c r="CB9" s="387"/>
      <c r="CC9" s="387"/>
      <c r="CD9" s="387"/>
      <c r="CE9" s="387"/>
      <c r="CF9" s="387"/>
      <c r="CG9" s="387"/>
      <c r="CH9" s="387"/>
      <c r="CI9" s="387"/>
      <c r="CJ9" s="387"/>
      <c r="CK9" s="387"/>
      <c r="CL9" s="387"/>
      <c r="CM9" s="387"/>
      <c r="CN9" s="387"/>
      <c r="CO9" s="387"/>
      <c r="CP9" s="387"/>
      <c r="CQ9" s="387"/>
      <c r="CR9" s="387"/>
      <c r="CS9" s="387"/>
      <c r="CT9" s="387"/>
      <c r="CU9" s="387"/>
      <c r="CV9" s="387"/>
      <c r="CW9" s="387"/>
      <c r="CX9" s="387"/>
      <c r="CY9" s="387"/>
    </row>
    <row r="10" spans="1:103" ht="15" customHeight="1" x14ac:dyDescent="0.2">
      <c r="A10" s="1061"/>
      <c r="B10" s="31" t="s">
        <v>524</v>
      </c>
      <c r="C10" s="269">
        <f t="shared" si="2"/>
        <v>0</v>
      </c>
      <c r="D10" s="386">
        <f>'Data Entry'!G50</f>
        <v>0</v>
      </c>
      <c r="E10" s="387"/>
      <c r="F10" s="387"/>
      <c r="G10" s="387"/>
      <c r="H10" s="387"/>
      <c r="I10" s="387"/>
      <c r="J10" s="387"/>
      <c r="K10" s="387"/>
      <c r="L10" s="387"/>
      <c r="M10" s="387"/>
      <c r="N10" s="387"/>
      <c r="O10" s="387"/>
      <c r="P10" s="387"/>
      <c r="Q10" s="387"/>
      <c r="R10" s="387"/>
      <c r="S10" s="387"/>
      <c r="T10" s="387"/>
      <c r="U10" s="387"/>
      <c r="V10" s="387"/>
      <c r="W10" s="387"/>
      <c r="X10" s="387"/>
      <c r="Y10" s="387"/>
      <c r="Z10" s="387"/>
      <c r="AA10" s="387"/>
      <c r="AB10" s="387"/>
      <c r="AC10" s="387"/>
      <c r="AD10" s="387"/>
      <c r="AE10" s="387"/>
      <c r="AF10" s="387"/>
      <c r="AG10" s="387"/>
      <c r="AH10" s="387"/>
      <c r="AI10" s="387"/>
      <c r="AJ10" s="387"/>
      <c r="AK10" s="387"/>
      <c r="AL10" s="387"/>
      <c r="AM10" s="387"/>
      <c r="AN10" s="387"/>
      <c r="AO10" s="388"/>
      <c r="AP10" s="387"/>
      <c r="AQ10" s="387"/>
      <c r="AR10" s="387"/>
      <c r="AS10" s="387"/>
      <c r="AT10" s="387"/>
      <c r="AU10" s="387"/>
      <c r="AV10" s="387"/>
      <c r="AW10" s="387"/>
      <c r="AX10" s="387"/>
      <c r="AY10" s="387"/>
      <c r="AZ10" s="387"/>
      <c r="BA10" s="387"/>
      <c r="BB10" s="387"/>
      <c r="BC10" s="387"/>
      <c r="BD10" s="387"/>
      <c r="BE10" s="387"/>
      <c r="BF10" s="387"/>
      <c r="BG10" s="387"/>
      <c r="BH10" s="387"/>
      <c r="BI10" s="387"/>
      <c r="BJ10" s="387"/>
      <c r="BK10" s="388"/>
      <c r="BL10" s="387"/>
      <c r="BM10" s="387"/>
      <c r="BN10" s="387"/>
      <c r="BO10" s="387"/>
      <c r="BP10" s="387"/>
      <c r="BQ10" s="387"/>
      <c r="BR10" s="387"/>
      <c r="BS10" s="387"/>
      <c r="BT10" s="387"/>
      <c r="BU10" s="387"/>
      <c r="BV10" s="387"/>
      <c r="BW10" s="387"/>
      <c r="BX10" s="387"/>
      <c r="BY10" s="387"/>
      <c r="BZ10" s="387"/>
      <c r="CA10" s="388"/>
      <c r="CB10" s="387"/>
      <c r="CC10" s="387"/>
      <c r="CD10" s="387"/>
      <c r="CE10" s="387"/>
      <c r="CF10" s="387"/>
      <c r="CG10" s="387"/>
      <c r="CH10" s="387"/>
      <c r="CI10" s="387"/>
      <c r="CJ10" s="387"/>
      <c r="CK10" s="387"/>
      <c r="CL10" s="387"/>
      <c r="CM10" s="387"/>
      <c r="CN10" s="387"/>
      <c r="CO10" s="387"/>
      <c r="CP10" s="387"/>
      <c r="CQ10" s="387"/>
      <c r="CR10" s="387"/>
      <c r="CS10" s="387"/>
      <c r="CT10" s="387"/>
      <c r="CU10" s="387"/>
      <c r="CV10" s="387"/>
      <c r="CW10" s="387"/>
      <c r="CX10" s="387"/>
      <c r="CY10" s="387"/>
    </row>
    <row r="11" spans="1:103" ht="15" customHeight="1" x14ac:dyDescent="0.2">
      <c r="A11" s="1061"/>
      <c r="B11" s="452" t="s">
        <v>133</v>
      </c>
      <c r="C11" s="269">
        <f t="shared" si="2"/>
        <v>0</v>
      </c>
      <c r="D11" s="453">
        <f>'Data Entry'!G51</f>
        <v>0</v>
      </c>
      <c r="E11" s="454"/>
      <c r="F11" s="454"/>
      <c r="G11" s="454"/>
      <c r="H11" s="454"/>
      <c r="I11" s="454"/>
      <c r="J11" s="454"/>
      <c r="K11" s="454"/>
      <c r="L11" s="454"/>
      <c r="M11" s="454"/>
      <c r="N11" s="454"/>
      <c r="O11" s="454"/>
      <c r="P11" s="454"/>
      <c r="Q11" s="454"/>
      <c r="R11" s="454"/>
      <c r="S11" s="454"/>
      <c r="T11" s="454"/>
      <c r="U11" s="454"/>
      <c r="V11" s="454"/>
      <c r="W11" s="454"/>
      <c r="X11" s="454"/>
      <c r="Y11" s="454"/>
      <c r="Z11" s="454"/>
      <c r="AA11" s="454"/>
      <c r="AB11" s="454"/>
      <c r="AC11" s="454"/>
      <c r="AD11" s="454"/>
      <c r="AE11" s="454"/>
      <c r="AF11" s="454"/>
      <c r="AG11" s="454"/>
      <c r="AH11" s="454"/>
      <c r="AI11" s="454"/>
      <c r="AJ11" s="454"/>
      <c r="AK11" s="454"/>
      <c r="AL11" s="454"/>
      <c r="AM11" s="454"/>
      <c r="AN11" s="454"/>
      <c r="AO11" s="455"/>
      <c r="AP11" s="454"/>
      <c r="AQ11" s="454"/>
      <c r="AR11" s="454"/>
      <c r="AS11" s="454"/>
      <c r="AT11" s="454"/>
      <c r="AU11" s="454"/>
      <c r="AV11" s="454"/>
      <c r="AW11" s="454"/>
      <c r="AX11" s="454"/>
      <c r="AY11" s="454"/>
      <c r="AZ11" s="454"/>
      <c r="BA11" s="454"/>
      <c r="BB11" s="454"/>
      <c r="BC11" s="454"/>
      <c r="BD11" s="454"/>
      <c r="BE11" s="454"/>
      <c r="BF11" s="454"/>
      <c r="BG11" s="454"/>
      <c r="BH11" s="454"/>
      <c r="BI11" s="454"/>
      <c r="BJ11" s="454"/>
      <c r="BK11" s="455"/>
      <c r="BL11" s="454"/>
      <c r="BM11" s="454"/>
      <c r="BN11" s="454"/>
      <c r="BO11" s="454"/>
      <c r="BP11" s="454"/>
      <c r="BQ11" s="454"/>
      <c r="BR11" s="454"/>
      <c r="BS11" s="454"/>
      <c r="BT11" s="454"/>
      <c r="BU11" s="454"/>
      <c r="BV11" s="454"/>
      <c r="BW11" s="454"/>
      <c r="BX11" s="454"/>
      <c r="BY11" s="454"/>
      <c r="BZ11" s="454"/>
      <c r="CA11" s="455"/>
      <c r="CB11" s="454"/>
      <c r="CC11" s="454"/>
      <c r="CD11" s="454"/>
      <c r="CE11" s="454"/>
      <c r="CF11" s="454"/>
      <c r="CG11" s="454"/>
      <c r="CH11" s="454"/>
      <c r="CI11" s="454"/>
      <c r="CJ11" s="454"/>
      <c r="CK11" s="454"/>
      <c r="CL11" s="454"/>
      <c r="CM11" s="454"/>
      <c r="CN11" s="454"/>
      <c r="CO11" s="454"/>
      <c r="CP11" s="454"/>
      <c r="CQ11" s="454"/>
      <c r="CR11" s="454"/>
      <c r="CS11" s="454"/>
      <c r="CT11" s="454"/>
      <c r="CU11" s="454"/>
      <c r="CV11" s="454"/>
      <c r="CW11" s="454"/>
      <c r="CX11" s="454"/>
      <c r="CY11" s="454"/>
    </row>
    <row r="12" spans="1:103" ht="15" customHeight="1" x14ac:dyDescent="0.2">
      <c r="A12" s="1061"/>
      <c r="B12" s="452" t="s">
        <v>134</v>
      </c>
      <c r="C12" s="269">
        <f t="shared" si="2"/>
        <v>0</v>
      </c>
      <c r="D12" s="453">
        <f>'Data Entry'!G52</f>
        <v>0</v>
      </c>
      <c r="E12" s="454"/>
      <c r="F12" s="454"/>
      <c r="G12" s="454"/>
      <c r="H12" s="454"/>
      <c r="I12" s="454"/>
      <c r="J12" s="454"/>
      <c r="K12" s="454"/>
      <c r="L12" s="454"/>
      <c r="M12" s="454"/>
      <c r="N12" s="454"/>
      <c r="O12" s="454"/>
      <c r="P12" s="454"/>
      <c r="Q12" s="454"/>
      <c r="R12" s="454"/>
      <c r="S12" s="454"/>
      <c r="T12" s="454"/>
      <c r="U12" s="454"/>
      <c r="V12" s="454"/>
      <c r="W12" s="454"/>
      <c r="X12" s="454"/>
      <c r="Y12" s="454"/>
      <c r="Z12" s="454"/>
      <c r="AA12" s="454"/>
      <c r="AB12" s="454"/>
      <c r="AC12" s="454"/>
      <c r="AD12" s="454"/>
      <c r="AE12" s="454"/>
      <c r="AF12" s="454"/>
      <c r="AG12" s="454"/>
      <c r="AH12" s="454"/>
      <c r="AI12" s="454"/>
      <c r="AJ12" s="454"/>
      <c r="AK12" s="454"/>
      <c r="AL12" s="454"/>
      <c r="AM12" s="454"/>
      <c r="AN12" s="454"/>
      <c r="AO12" s="445">
        <f>IF('Data Entry'!B12&gt;40,'Data Entry'!Y59,0)</f>
        <v>0</v>
      </c>
      <c r="AP12" s="387"/>
      <c r="AQ12" s="454"/>
      <c r="AR12" s="454"/>
      <c r="AS12" s="454"/>
      <c r="AT12" s="454"/>
      <c r="AU12" s="454"/>
      <c r="AV12" s="454"/>
      <c r="AW12" s="454"/>
      <c r="AX12" s="454"/>
      <c r="AY12" s="454"/>
      <c r="AZ12" s="454"/>
      <c r="BA12" s="454"/>
      <c r="BB12" s="454"/>
      <c r="BC12" s="454"/>
      <c r="BD12" s="454"/>
      <c r="BE12" s="454"/>
      <c r="BF12" s="454"/>
      <c r="BG12" s="454"/>
      <c r="BH12" s="454"/>
      <c r="BI12" s="454"/>
      <c r="BJ12" s="454"/>
      <c r="BK12" s="445">
        <f>IF(BK6&lt;'Data Entry'!B12-1,'Data Entry'!Y61,0)</f>
        <v>0</v>
      </c>
      <c r="BL12" s="387"/>
      <c r="BM12" s="454"/>
      <c r="BN12" s="454"/>
      <c r="BO12" s="454"/>
      <c r="BP12" s="454"/>
      <c r="BQ12" s="454"/>
      <c r="BR12" s="454"/>
      <c r="BS12" s="454"/>
      <c r="BT12" s="454"/>
      <c r="BU12" s="454"/>
      <c r="BV12" s="454"/>
      <c r="BW12" s="454"/>
      <c r="BX12" s="454"/>
      <c r="BY12" s="454"/>
      <c r="BZ12" s="454"/>
      <c r="CA12" s="445">
        <f>IF(CA6&lt;'Data Entry'!B12-1,'Data Entry'!Y59+'Data Entry'!Y60,0)</f>
        <v>0</v>
      </c>
      <c r="CB12" s="387"/>
      <c r="CC12" s="454"/>
      <c r="CD12" s="454"/>
      <c r="CE12" s="454"/>
      <c r="CF12" s="454"/>
      <c r="CG12" s="454"/>
      <c r="CH12" s="454"/>
      <c r="CI12" s="454"/>
      <c r="CJ12" s="454"/>
      <c r="CK12" s="454"/>
      <c r="CL12" s="454"/>
      <c r="CM12" s="454"/>
      <c r="CN12" s="454"/>
      <c r="CO12" s="454"/>
      <c r="CP12" s="454"/>
      <c r="CQ12" s="454"/>
      <c r="CR12" s="454"/>
      <c r="CS12" s="454"/>
      <c r="CT12" s="454"/>
      <c r="CU12" s="454"/>
      <c r="CV12" s="454"/>
      <c r="CW12" s="454"/>
      <c r="CX12" s="454"/>
      <c r="CY12" s="454"/>
    </row>
    <row r="13" spans="1:103" ht="15" customHeight="1" x14ac:dyDescent="0.2">
      <c r="A13" s="1061"/>
      <c r="B13" s="452" t="s">
        <v>135</v>
      </c>
      <c r="C13" s="269">
        <f t="shared" si="2"/>
        <v>0</v>
      </c>
      <c r="D13" s="453">
        <f>'Data Entry'!G53</f>
        <v>0</v>
      </c>
      <c r="E13" s="454"/>
      <c r="F13" s="454"/>
      <c r="G13" s="454"/>
      <c r="H13" s="454"/>
      <c r="I13" s="454"/>
      <c r="J13" s="454"/>
      <c r="K13" s="454"/>
      <c r="L13" s="454"/>
      <c r="M13" s="454"/>
      <c r="N13" s="454"/>
      <c r="O13" s="454"/>
      <c r="P13" s="454"/>
      <c r="Q13" s="454"/>
      <c r="R13" s="454"/>
      <c r="S13" s="454"/>
      <c r="T13" s="454"/>
      <c r="U13" s="454"/>
      <c r="V13" s="454"/>
      <c r="W13" s="454"/>
      <c r="X13" s="454"/>
      <c r="Y13" s="454"/>
      <c r="Z13" s="454"/>
      <c r="AA13" s="454"/>
      <c r="AB13" s="454"/>
      <c r="AC13" s="454"/>
      <c r="AD13" s="454"/>
      <c r="AE13" s="454"/>
      <c r="AF13" s="454"/>
      <c r="AG13" s="454"/>
      <c r="AH13" s="454"/>
      <c r="AI13" s="454"/>
      <c r="AJ13" s="454"/>
      <c r="AK13" s="454"/>
      <c r="AL13" s="454"/>
      <c r="AM13" s="454"/>
      <c r="AN13" s="454"/>
      <c r="AO13" s="455"/>
      <c r="AP13" s="454"/>
      <c r="AQ13" s="454"/>
      <c r="AR13" s="454"/>
      <c r="AS13" s="454"/>
      <c r="AT13" s="454"/>
      <c r="AU13" s="454"/>
      <c r="AV13" s="454"/>
      <c r="AW13" s="454"/>
      <c r="AX13" s="454"/>
      <c r="AY13" s="454"/>
      <c r="AZ13" s="454"/>
      <c r="BA13" s="454"/>
      <c r="BB13" s="454"/>
      <c r="BC13" s="454"/>
      <c r="BD13" s="454"/>
      <c r="BE13" s="454"/>
      <c r="BF13" s="454"/>
      <c r="BG13" s="454"/>
      <c r="BH13" s="454"/>
      <c r="BI13" s="454"/>
      <c r="BJ13" s="454"/>
      <c r="BK13" s="455"/>
      <c r="BL13" s="387"/>
      <c r="BM13" s="454"/>
      <c r="BN13" s="454"/>
      <c r="BO13" s="454"/>
      <c r="BP13" s="454"/>
      <c r="BQ13" s="454"/>
      <c r="BR13" s="454"/>
      <c r="BS13" s="454"/>
      <c r="BT13" s="454"/>
      <c r="BU13" s="454"/>
      <c r="BV13" s="454"/>
      <c r="BW13" s="454"/>
      <c r="BX13" s="454"/>
      <c r="BY13" s="454"/>
      <c r="BZ13" s="454"/>
      <c r="CA13" s="455"/>
      <c r="CB13" s="387"/>
      <c r="CC13" s="454"/>
      <c r="CD13" s="454"/>
      <c r="CE13" s="454"/>
      <c r="CF13" s="454"/>
      <c r="CG13" s="454"/>
      <c r="CH13" s="454"/>
      <c r="CI13" s="454"/>
      <c r="CJ13" s="454"/>
      <c r="CK13" s="454"/>
      <c r="CL13" s="454"/>
      <c r="CM13" s="454"/>
      <c r="CN13" s="454"/>
      <c r="CO13" s="454"/>
      <c r="CP13" s="454"/>
      <c r="CQ13" s="454"/>
      <c r="CR13" s="454"/>
      <c r="CS13" s="454"/>
      <c r="CT13" s="454"/>
      <c r="CU13" s="454"/>
      <c r="CV13" s="454"/>
      <c r="CW13" s="454"/>
      <c r="CX13" s="454"/>
      <c r="CY13" s="454"/>
    </row>
    <row r="14" spans="1:103" ht="15" customHeight="1" x14ac:dyDescent="0.2">
      <c r="A14" s="1061"/>
      <c r="B14" s="328" t="s">
        <v>348</v>
      </c>
      <c r="C14" s="269">
        <f t="shared" si="2"/>
        <v>0</v>
      </c>
      <c r="D14" s="453">
        <f>'Data Entry'!G55</f>
        <v>0</v>
      </c>
      <c r="E14" s="454"/>
      <c r="F14" s="454"/>
      <c r="G14" s="454"/>
      <c r="H14" s="454"/>
      <c r="I14" s="454"/>
      <c r="J14" s="454"/>
      <c r="K14" s="454"/>
      <c r="L14" s="454"/>
      <c r="M14" s="454"/>
      <c r="N14" s="454"/>
      <c r="O14" s="454"/>
      <c r="P14" s="454"/>
      <c r="Q14" s="454"/>
      <c r="R14" s="454"/>
      <c r="S14" s="454"/>
      <c r="T14" s="454"/>
      <c r="U14" s="454"/>
      <c r="V14" s="454"/>
      <c r="W14" s="454"/>
      <c r="X14" s="454"/>
      <c r="Y14" s="454"/>
      <c r="Z14" s="454"/>
      <c r="AA14" s="454"/>
      <c r="AB14" s="454"/>
      <c r="AC14" s="454"/>
      <c r="AD14" s="454"/>
      <c r="AE14" s="454"/>
      <c r="AF14" s="454"/>
      <c r="AG14" s="454"/>
      <c r="AH14" s="454"/>
      <c r="AI14" s="454"/>
      <c r="AJ14" s="454"/>
      <c r="AK14" s="454"/>
      <c r="AL14" s="177">
        <f>'Data Entry'!H55</f>
        <v>0</v>
      </c>
      <c r="AM14" s="145"/>
      <c r="AN14" s="454"/>
      <c r="AO14" s="455"/>
      <c r="AP14" s="454"/>
      <c r="AQ14" s="454"/>
      <c r="AR14" s="454"/>
      <c r="AS14" s="454"/>
      <c r="AT14" s="454"/>
      <c r="AU14" s="454"/>
      <c r="AV14" s="454"/>
      <c r="AW14" s="454"/>
      <c r="AX14" s="454"/>
      <c r="AY14" s="454"/>
      <c r="AZ14" s="454"/>
      <c r="BA14" s="454"/>
      <c r="BB14" s="454"/>
      <c r="BC14" s="454"/>
      <c r="BD14" s="454"/>
      <c r="BE14" s="454"/>
      <c r="BF14" s="454"/>
      <c r="BG14" s="454"/>
      <c r="BH14" s="454"/>
      <c r="BI14" s="454"/>
      <c r="BJ14" s="454"/>
      <c r="BK14" s="455"/>
      <c r="BL14" s="387"/>
      <c r="BM14" s="454"/>
      <c r="BN14" s="454"/>
      <c r="BO14" s="454"/>
      <c r="BP14" s="454"/>
      <c r="BQ14" s="454"/>
      <c r="BR14" s="454"/>
      <c r="BS14" s="454"/>
      <c r="BT14" s="454"/>
      <c r="BU14" s="177">
        <f>IF(BU6&lt;'Data Entry'!B12,'Data Entry'!H55,0)</f>
        <v>0</v>
      </c>
      <c r="BV14" s="145"/>
      <c r="BW14" s="454"/>
      <c r="BX14" s="454"/>
      <c r="BY14" s="454"/>
      <c r="BZ14" s="454"/>
      <c r="CA14" s="455"/>
      <c r="CB14" s="387"/>
      <c r="CC14" s="454"/>
      <c r="CD14" s="454"/>
      <c r="CE14" s="454"/>
      <c r="CF14" s="454"/>
      <c r="CG14" s="454"/>
      <c r="CH14" s="454"/>
      <c r="CI14" s="454"/>
      <c r="CJ14" s="454"/>
      <c r="CK14" s="454"/>
      <c r="CL14" s="454"/>
      <c r="CM14" s="454"/>
      <c r="CN14" s="454"/>
      <c r="CO14" s="454"/>
      <c r="CP14" s="454"/>
      <c r="CQ14" s="454"/>
      <c r="CR14" s="454"/>
      <c r="CS14" s="454"/>
      <c r="CT14" s="454"/>
      <c r="CU14" s="454"/>
      <c r="CV14" s="454"/>
      <c r="CW14" s="454"/>
      <c r="CX14" s="454"/>
      <c r="CY14" s="454"/>
    </row>
    <row r="15" spans="1:103" ht="15" customHeight="1" x14ac:dyDescent="0.2">
      <c r="A15" s="1061"/>
      <c r="B15" s="452" t="s">
        <v>125</v>
      </c>
      <c r="C15" s="269">
        <f t="shared" si="2"/>
        <v>0</v>
      </c>
      <c r="D15" s="453">
        <f>'Data Entry'!G26</f>
        <v>0</v>
      </c>
      <c r="E15" s="454"/>
      <c r="F15" s="454"/>
      <c r="G15" s="454"/>
      <c r="H15" s="454"/>
      <c r="I15" s="454"/>
      <c r="J15" s="454"/>
      <c r="K15" s="454"/>
      <c r="L15" s="454"/>
      <c r="M15" s="454"/>
      <c r="N15" s="454"/>
      <c r="O15" s="454"/>
      <c r="P15" s="454"/>
      <c r="Q15" s="454"/>
      <c r="R15" s="454"/>
      <c r="S15" s="454"/>
      <c r="T15" s="454"/>
      <c r="U15" s="454"/>
      <c r="V15" s="454"/>
      <c r="W15" s="177">
        <f>'Data Entry'!$H26</f>
        <v>0</v>
      </c>
      <c r="X15" s="387"/>
      <c r="Y15" s="454"/>
      <c r="Z15" s="454"/>
      <c r="AA15" s="454"/>
      <c r="AB15" s="454"/>
      <c r="AC15" s="454"/>
      <c r="AD15" s="454"/>
      <c r="AE15" s="454"/>
      <c r="AF15" s="454"/>
      <c r="AG15" s="454"/>
      <c r="AH15" s="454"/>
      <c r="AI15" s="454"/>
      <c r="AJ15" s="454"/>
      <c r="AK15" s="454"/>
      <c r="AL15" s="454"/>
      <c r="AM15" s="454"/>
      <c r="AN15" s="454"/>
      <c r="AO15" s="455"/>
      <c r="AP15" s="454"/>
      <c r="AQ15" s="177">
        <f>IF(AQ$6&lt;'Data Entry'!$B$12,'Data Entry'!$H26,0)</f>
        <v>0</v>
      </c>
      <c r="AR15" s="387"/>
      <c r="AS15" s="454"/>
      <c r="AT15" s="454"/>
      <c r="AU15" s="454"/>
      <c r="AV15" s="454"/>
      <c r="AW15" s="454"/>
      <c r="AX15" s="454"/>
      <c r="AY15" s="454"/>
      <c r="AZ15" s="454"/>
      <c r="BA15" s="454"/>
      <c r="BB15" s="454"/>
      <c r="BC15" s="454"/>
      <c r="BD15" s="454"/>
      <c r="BE15" s="454"/>
      <c r="BF15" s="454"/>
      <c r="BG15" s="454"/>
      <c r="BH15" s="454"/>
      <c r="BI15" s="454"/>
      <c r="BJ15" s="454"/>
      <c r="BK15" s="445">
        <f>IF(BK$6&lt;'Data Entry'!$B$12-1,'Data Entry'!$H26,0)</f>
        <v>0</v>
      </c>
      <c r="BL15" s="387"/>
      <c r="BM15" s="454"/>
      <c r="BN15" s="454"/>
      <c r="BO15" s="454"/>
      <c r="BP15" s="454"/>
      <c r="BQ15" s="454"/>
      <c r="BR15" s="454"/>
      <c r="BS15" s="454"/>
      <c r="BT15" s="454"/>
      <c r="BU15" s="454"/>
      <c r="BV15" s="454"/>
      <c r="BW15" s="454"/>
      <c r="BX15" s="454"/>
      <c r="BY15" s="454"/>
      <c r="BZ15" s="454"/>
      <c r="CA15" s="455"/>
      <c r="CB15" s="387"/>
      <c r="CC15" s="454"/>
      <c r="CD15" s="454"/>
      <c r="CE15" s="177">
        <f>IF(CE$6&lt;'Data Entry'!$B$12,'Data Entry'!$H26,0)</f>
        <v>0</v>
      </c>
      <c r="CF15" s="387"/>
      <c r="CG15" s="454"/>
      <c r="CH15" s="454"/>
      <c r="CI15" s="454"/>
      <c r="CJ15" s="454"/>
      <c r="CK15" s="454"/>
      <c r="CL15" s="454"/>
      <c r="CM15" s="454"/>
      <c r="CN15" s="454"/>
      <c r="CO15" s="454"/>
      <c r="CP15" s="454"/>
      <c r="CQ15" s="454"/>
      <c r="CR15" s="454"/>
      <c r="CS15" s="454"/>
      <c r="CT15" s="454"/>
      <c r="CU15" s="454"/>
      <c r="CV15" s="454"/>
      <c r="CW15" s="454"/>
      <c r="CX15" s="454"/>
      <c r="CY15" s="454"/>
    </row>
    <row r="16" spans="1:103" ht="15" customHeight="1" x14ac:dyDescent="0.2">
      <c r="A16" s="1061"/>
      <c r="B16" s="452" t="s">
        <v>124</v>
      </c>
      <c r="C16" s="269">
        <f t="shared" si="2"/>
        <v>0</v>
      </c>
      <c r="D16" s="453">
        <f>'Data Entry'!G27</f>
        <v>0</v>
      </c>
      <c r="E16" s="454"/>
      <c r="F16" s="454"/>
      <c r="G16" s="454"/>
      <c r="H16" s="454"/>
      <c r="I16" s="454"/>
      <c r="J16" s="454"/>
      <c r="K16" s="454"/>
      <c r="L16" s="454"/>
      <c r="M16" s="454"/>
      <c r="N16" s="454"/>
      <c r="O16" s="454"/>
      <c r="P16" s="454"/>
      <c r="Q16" s="454"/>
      <c r="R16" s="454"/>
      <c r="S16" s="454"/>
      <c r="T16" s="454"/>
      <c r="U16" s="454"/>
      <c r="V16" s="454"/>
      <c r="W16" s="177">
        <f>'Data Entry'!$H27</f>
        <v>0</v>
      </c>
      <c r="X16" s="387"/>
      <c r="Y16" s="454"/>
      <c r="Z16" s="454"/>
      <c r="AA16" s="454"/>
      <c r="AB16" s="454"/>
      <c r="AC16" s="454"/>
      <c r="AD16" s="454"/>
      <c r="AE16" s="454"/>
      <c r="AF16" s="454"/>
      <c r="AG16" s="454"/>
      <c r="AH16" s="454"/>
      <c r="AI16" s="454"/>
      <c r="AJ16" s="454"/>
      <c r="AK16" s="454"/>
      <c r="AL16" s="454"/>
      <c r="AM16" s="454"/>
      <c r="AN16" s="454"/>
      <c r="AO16" s="455"/>
      <c r="AP16" s="454"/>
      <c r="AQ16" s="177">
        <f>IF(AQ$6&lt;'Data Entry'!$B$12,'Data Entry'!$H27,0)</f>
        <v>0</v>
      </c>
      <c r="AR16" s="387"/>
      <c r="AS16" s="454"/>
      <c r="AT16" s="454"/>
      <c r="AU16" s="454"/>
      <c r="AV16" s="454"/>
      <c r="AW16" s="454"/>
      <c r="AX16" s="454"/>
      <c r="AY16" s="454"/>
      <c r="AZ16" s="454"/>
      <c r="BA16" s="454"/>
      <c r="BB16" s="454"/>
      <c r="BC16" s="454"/>
      <c r="BD16" s="454"/>
      <c r="BE16" s="454"/>
      <c r="BF16" s="454"/>
      <c r="BG16" s="454"/>
      <c r="BH16" s="454"/>
      <c r="BI16" s="454"/>
      <c r="BJ16" s="454"/>
      <c r="BK16" s="445">
        <f>IF(BK$6&lt;'Data Entry'!$B$12-1,'Data Entry'!$H27,0)</f>
        <v>0</v>
      </c>
      <c r="BL16" s="387"/>
      <c r="BM16" s="454"/>
      <c r="BN16" s="454"/>
      <c r="BO16" s="454"/>
      <c r="BP16" s="454"/>
      <c r="BQ16" s="454"/>
      <c r="BR16" s="454"/>
      <c r="BS16" s="454"/>
      <c r="BT16" s="454"/>
      <c r="BU16" s="454"/>
      <c r="BV16" s="454"/>
      <c r="BW16" s="454"/>
      <c r="BX16" s="454"/>
      <c r="BY16" s="454"/>
      <c r="BZ16" s="454"/>
      <c r="CA16" s="455"/>
      <c r="CB16" s="387"/>
      <c r="CC16" s="454"/>
      <c r="CD16" s="454"/>
      <c r="CE16" s="177">
        <f>IF(CE$6&lt;'Data Entry'!$B$12,'Data Entry'!$H27,0)</f>
        <v>0</v>
      </c>
      <c r="CF16" s="387"/>
      <c r="CG16" s="454"/>
      <c r="CH16" s="454"/>
      <c r="CI16" s="454"/>
      <c r="CJ16" s="454"/>
      <c r="CK16" s="454"/>
      <c r="CL16" s="454"/>
      <c r="CM16" s="454"/>
      <c r="CN16" s="454"/>
      <c r="CO16" s="454"/>
      <c r="CP16" s="454"/>
      <c r="CQ16" s="454"/>
      <c r="CR16" s="454"/>
      <c r="CS16" s="454"/>
      <c r="CT16" s="454"/>
      <c r="CU16" s="454"/>
      <c r="CV16" s="454"/>
      <c r="CW16" s="454"/>
      <c r="CX16" s="454"/>
      <c r="CY16" s="454"/>
    </row>
    <row r="17" spans="1:103" ht="15" customHeight="1" x14ac:dyDescent="0.2">
      <c r="A17" s="1061"/>
      <c r="B17" s="328" t="s">
        <v>398</v>
      </c>
      <c r="C17" s="269">
        <f t="shared" si="2"/>
        <v>0</v>
      </c>
      <c r="D17" s="453">
        <f>'Data Entry'!G28</f>
        <v>0</v>
      </c>
      <c r="E17" s="454"/>
      <c r="F17" s="454"/>
      <c r="G17" s="454"/>
      <c r="H17" s="454"/>
      <c r="I17" s="454"/>
      <c r="J17" s="454"/>
      <c r="K17" s="454"/>
      <c r="L17" s="454"/>
      <c r="M17" s="454"/>
      <c r="N17" s="454"/>
      <c r="O17" s="454"/>
      <c r="P17" s="454"/>
      <c r="Q17" s="454"/>
      <c r="R17" s="454"/>
      <c r="S17" s="454"/>
      <c r="T17" s="454"/>
      <c r="U17" s="454"/>
      <c r="V17" s="454"/>
      <c r="W17" s="454"/>
      <c r="X17" s="387"/>
      <c r="Y17" s="454"/>
      <c r="Z17" s="454"/>
      <c r="AA17" s="454"/>
      <c r="AB17" s="454"/>
      <c r="AC17" s="454"/>
      <c r="AD17" s="454"/>
      <c r="AE17" s="454"/>
      <c r="AF17" s="454"/>
      <c r="AG17" s="454"/>
      <c r="AH17" s="454"/>
      <c r="AI17" s="454"/>
      <c r="AJ17" s="454"/>
      <c r="AK17" s="454"/>
      <c r="AL17" s="454"/>
      <c r="AM17" s="454"/>
      <c r="AN17" s="454"/>
      <c r="AO17" s="455"/>
      <c r="AP17" s="454"/>
      <c r="AQ17" s="177">
        <f>IF(AQ$6&lt;'Data Entry'!$B$12,'Data Entry'!$H28,0)</f>
        <v>0</v>
      </c>
      <c r="AR17" s="387"/>
      <c r="AS17" s="454"/>
      <c r="AT17" s="454"/>
      <c r="AU17" s="454"/>
      <c r="AV17" s="454"/>
      <c r="AW17" s="454"/>
      <c r="AX17" s="454"/>
      <c r="AY17" s="454"/>
      <c r="AZ17" s="454"/>
      <c r="BA17" s="454"/>
      <c r="BB17" s="454"/>
      <c r="BC17" s="454"/>
      <c r="BD17" s="454"/>
      <c r="BE17" s="454"/>
      <c r="BF17" s="454"/>
      <c r="BG17" s="454"/>
      <c r="BH17" s="454"/>
      <c r="BI17" s="454"/>
      <c r="BJ17" s="454"/>
      <c r="BK17" s="445">
        <f>IF(BK$6&lt;'Data Entry'!$B$12-1,'Data Entry'!$H28,0)</f>
        <v>0</v>
      </c>
      <c r="BL17" s="387"/>
      <c r="BM17" s="454"/>
      <c r="BN17" s="454"/>
      <c r="BO17" s="454"/>
      <c r="BP17" s="454"/>
      <c r="BQ17" s="454"/>
      <c r="BR17" s="454"/>
      <c r="BS17" s="454"/>
      <c r="BT17" s="454"/>
      <c r="BU17" s="454"/>
      <c r="BV17" s="454"/>
      <c r="BW17" s="454"/>
      <c r="BX17" s="454"/>
      <c r="BY17" s="454"/>
      <c r="BZ17" s="454"/>
      <c r="CA17" s="455"/>
      <c r="CB17" s="387"/>
      <c r="CC17" s="454"/>
      <c r="CD17" s="454"/>
      <c r="CE17" s="177">
        <f>IF(CE$6&lt;'Data Entry'!$B$12,'Data Entry'!$H28,0)</f>
        <v>0</v>
      </c>
      <c r="CF17" s="387"/>
      <c r="CG17" s="454"/>
      <c r="CH17" s="454"/>
      <c r="CI17" s="454"/>
      <c r="CJ17" s="454"/>
      <c r="CK17" s="454"/>
      <c r="CL17" s="454"/>
      <c r="CM17" s="454"/>
      <c r="CN17" s="454"/>
      <c r="CO17" s="454"/>
      <c r="CP17" s="454"/>
      <c r="CQ17" s="454"/>
      <c r="CR17" s="454"/>
      <c r="CS17" s="454"/>
      <c r="CT17" s="454"/>
      <c r="CU17" s="454"/>
      <c r="CV17" s="454"/>
      <c r="CW17" s="454"/>
      <c r="CX17" s="454"/>
      <c r="CY17" s="454"/>
    </row>
    <row r="18" spans="1:103" ht="15" customHeight="1" x14ac:dyDescent="0.2">
      <c r="A18" s="1061"/>
      <c r="B18" s="452" t="s">
        <v>123</v>
      </c>
      <c r="C18" s="269">
        <f t="shared" si="2"/>
        <v>0</v>
      </c>
      <c r="D18" s="453">
        <f>'Data Entry'!G30</f>
        <v>0</v>
      </c>
      <c r="E18" s="454"/>
      <c r="F18" s="454"/>
      <c r="G18" s="454"/>
      <c r="H18" s="454"/>
      <c r="I18" s="454"/>
      <c r="J18" s="454"/>
      <c r="K18" s="454"/>
      <c r="L18" s="454"/>
      <c r="M18" s="454"/>
      <c r="N18" s="454"/>
      <c r="O18" s="454"/>
      <c r="P18" s="454"/>
      <c r="Q18" s="454"/>
      <c r="R18" s="454"/>
      <c r="S18" s="454"/>
      <c r="T18" s="454"/>
      <c r="U18" s="454"/>
      <c r="V18" s="454"/>
      <c r="W18" s="454"/>
      <c r="X18" s="454"/>
      <c r="Y18" s="454"/>
      <c r="Z18" s="454"/>
      <c r="AA18" s="454"/>
      <c r="AB18" s="454"/>
      <c r="AC18" s="454"/>
      <c r="AD18" s="454"/>
      <c r="AE18" s="454"/>
      <c r="AF18" s="454"/>
      <c r="AG18" s="454"/>
      <c r="AH18" s="454"/>
      <c r="AI18" s="454"/>
      <c r="AJ18" s="454"/>
      <c r="AK18" s="454"/>
      <c r="AL18" s="454"/>
      <c r="AM18" s="454"/>
      <c r="AN18" s="454"/>
      <c r="AO18" s="455"/>
      <c r="AP18" s="454"/>
      <c r="AQ18" s="454"/>
      <c r="AR18" s="454"/>
      <c r="AS18" s="454"/>
      <c r="AT18" s="454"/>
      <c r="AU18" s="454"/>
      <c r="AV18" s="454"/>
      <c r="AW18" s="454"/>
      <c r="AX18" s="454"/>
      <c r="AY18" s="454"/>
      <c r="AZ18" s="454"/>
      <c r="BA18" s="454"/>
      <c r="BB18" s="454"/>
      <c r="BC18" s="454"/>
      <c r="BD18" s="454"/>
      <c r="BE18" s="454"/>
      <c r="BF18" s="454"/>
      <c r="BG18" s="454"/>
      <c r="BH18" s="454"/>
      <c r="BI18" s="454"/>
      <c r="BJ18" s="454"/>
      <c r="BK18" s="456"/>
      <c r="BL18" s="387"/>
      <c r="BM18" s="454"/>
      <c r="BN18" s="454"/>
      <c r="BO18" s="454"/>
      <c r="BP18" s="454"/>
      <c r="BQ18" s="454"/>
      <c r="BR18" s="454"/>
      <c r="BS18" s="454"/>
      <c r="BT18" s="454"/>
      <c r="BU18" s="454"/>
      <c r="BV18" s="454"/>
      <c r="BW18" s="454"/>
      <c r="BX18" s="454"/>
      <c r="BY18" s="454"/>
      <c r="BZ18" s="454"/>
      <c r="CA18" s="455"/>
      <c r="CB18" s="387"/>
      <c r="CC18" s="454"/>
      <c r="CD18" s="454"/>
      <c r="CE18" s="457"/>
      <c r="CF18" s="387"/>
      <c r="CG18" s="454"/>
      <c r="CH18" s="454"/>
      <c r="CI18" s="454"/>
      <c r="CJ18" s="454"/>
      <c r="CK18" s="454"/>
      <c r="CL18" s="454"/>
      <c r="CM18" s="454"/>
      <c r="CN18" s="454"/>
      <c r="CO18" s="454"/>
      <c r="CP18" s="454"/>
      <c r="CQ18" s="454"/>
      <c r="CR18" s="454"/>
      <c r="CS18" s="454"/>
      <c r="CT18" s="454"/>
      <c r="CU18" s="454"/>
      <c r="CV18" s="454"/>
      <c r="CW18" s="454"/>
      <c r="CX18" s="454"/>
      <c r="CY18" s="454"/>
    </row>
    <row r="19" spans="1:103" ht="15" customHeight="1" x14ac:dyDescent="0.2">
      <c r="A19" s="1061"/>
      <c r="B19" s="328" t="s">
        <v>131</v>
      </c>
      <c r="C19" s="269">
        <f t="shared" si="2"/>
        <v>0</v>
      </c>
      <c r="D19" s="453">
        <f>'Data Entry'!G31</f>
        <v>0</v>
      </c>
      <c r="E19" s="454"/>
      <c r="F19" s="454"/>
      <c r="G19" s="454"/>
      <c r="H19" s="454"/>
      <c r="I19" s="454"/>
      <c r="J19" s="454"/>
      <c r="K19" s="454"/>
      <c r="L19" s="454"/>
      <c r="M19" s="454"/>
      <c r="N19" s="454"/>
      <c r="O19" s="454"/>
      <c r="P19" s="454"/>
      <c r="Q19" s="454"/>
      <c r="R19" s="454"/>
      <c r="S19" s="454"/>
      <c r="T19" s="454"/>
      <c r="U19" s="454"/>
      <c r="V19" s="454"/>
      <c r="W19" s="177">
        <f>'Data Entry'!$H31</f>
        <v>0</v>
      </c>
      <c r="X19" s="387"/>
      <c r="Y19" s="454"/>
      <c r="Z19" s="454"/>
      <c r="AA19" s="454"/>
      <c r="AB19" s="454"/>
      <c r="AC19" s="454"/>
      <c r="AD19" s="454"/>
      <c r="AE19" s="454"/>
      <c r="AF19" s="454"/>
      <c r="AG19" s="454"/>
      <c r="AH19" s="454"/>
      <c r="AI19" s="454"/>
      <c r="AJ19" s="454"/>
      <c r="AK19" s="454"/>
      <c r="AL19" s="454"/>
      <c r="AM19" s="454"/>
      <c r="AN19" s="454"/>
      <c r="AO19" s="455"/>
      <c r="AP19" s="454"/>
      <c r="AQ19" s="177">
        <f>IF(AQ$6&lt;'Data Entry'!$B$12,'Data Entry'!$H31,0)</f>
        <v>0</v>
      </c>
      <c r="AR19" s="387"/>
      <c r="AS19" s="454"/>
      <c r="AT19" s="454"/>
      <c r="AU19" s="454"/>
      <c r="AV19" s="454"/>
      <c r="AW19" s="454"/>
      <c r="AX19" s="454"/>
      <c r="AY19" s="454"/>
      <c r="AZ19" s="454"/>
      <c r="BA19" s="454"/>
      <c r="BB19" s="454"/>
      <c r="BC19" s="454"/>
      <c r="BD19" s="454"/>
      <c r="BE19" s="454"/>
      <c r="BF19" s="454"/>
      <c r="BG19" s="454"/>
      <c r="BH19" s="454"/>
      <c r="BI19" s="454"/>
      <c r="BJ19" s="454"/>
      <c r="BK19" s="445">
        <f>IF(BK$6&lt;'Data Entry'!$B$12-1,'Data Entry'!$H31,0)</f>
        <v>0</v>
      </c>
      <c r="BL19" s="387"/>
      <c r="BM19" s="454"/>
      <c r="BN19" s="454"/>
      <c r="BO19" s="454"/>
      <c r="BP19" s="454"/>
      <c r="BQ19" s="454"/>
      <c r="BR19" s="454"/>
      <c r="BS19" s="454"/>
      <c r="BT19" s="454"/>
      <c r="BU19" s="454"/>
      <c r="BV19" s="454"/>
      <c r="BW19" s="454"/>
      <c r="BX19" s="454"/>
      <c r="BY19" s="454"/>
      <c r="BZ19" s="454"/>
      <c r="CA19" s="455"/>
      <c r="CB19" s="387"/>
      <c r="CC19" s="454"/>
      <c r="CD19" s="454"/>
      <c r="CE19" s="177">
        <f>IF(CE$6&lt;'Data Entry'!$B$12,'Data Entry'!$H31,0)</f>
        <v>0</v>
      </c>
      <c r="CF19" s="387"/>
      <c r="CG19" s="454"/>
      <c r="CH19" s="454"/>
      <c r="CI19" s="454"/>
      <c r="CJ19" s="454"/>
      <c r="CK19" s="454"/>
      <c r="CL19" s="454"/>
      <c r="CM19" s="454"/>
      <c r="CN19" s="454"/>
      <c r="CO19" s="454"/>
      <c r="CP19" s="454"/>
      <c r="CQ19" s="454"/>
      <c r="CR19" s="454"/>
      <c r="CS19" s="454"/>
      <c r="CT19" s="454"/>
      <c r="CU19" s="454"/>
      <c r="CV19" s="454"/>
      <c r="CW19" s="454"/>
      <c r="CX19" s="454"/>
      <c r="CY19" s="454"/>
    </row>
    <row r="20" spans="1:103" ht="15" customHeight="1" x14ac:dyDescent="0.2">
      <c r="A20" s="1061"/>
      <c r="B20" s="328" t="s">
        <v>132</v>
      </c>
      <c r="C20" s="269">
        <f t="shared" si="2"/>
        <v>0</v>
      </c>
      <c r="D20" s="458"/>
      <c r="E20" s="454"/>
      <c r="F20" s="454"/>
      <c r="G20" s="454"/>
      <c r="H20" s="454"/>
      <c r="I20" s="454"/>
      <c r="J20" s="454"/>
      <c r="K20" s="454"/>
      <c r="L20" s="454"/>
      <c r="M20" s="454"/>
      <c r="N20" s="454"/>
      <c r="O20" s="454"/>
      <c r="P20" s="454"/>
      <c r="Q20" s="454"/>
      <c r="R20" s="177">
        <f>'Data Entry'!G32</f>
        <v>0</v>
      </c>
      <c r="S20" s="387"/>
      <c r="T20" s="454"/>
      <c r="U20" s="454"/>
      <c r="V20" s="454"/>
      <c r="W20" s="177">
        <f>'Data Entry'!$H32</f>
        <v>0</v>
      </c>
      <c r="X20" s="387"/>
      <c r="Y20" s="454"/>
      <c r="Z20" s="454"/>
      <c r="AA20" s="454"/>
      <c r="AB20" s="454"/>
      <c r="AC20" s="454"/>
      <c r="AD20" s="454"/>
      <c r="AE20" s="454"/>
      <c r="AF20" s="454"/>
      <c r="AG20" s="454"/>
      <c r="AH20" s="454"/>
      <c r="AI20" s="454"/>
      <c r="AJ20" s="454"/>
      <c r="AK20" s="454"/>
      <c r="AL20" s="454"/>
      <c r="AM20" s="454"/>
      <c r="AN20" s="454"/>
      <c r="AO20" s="455"/>
      <c r="AP20" s="454"/>
      <c r="AQ20" s="177">
        <f>IF(AQ$6&lt;'Data Entry'!$B$12,'Data Entry'!$H32,0)</f>
        <v>0</v>
      </c>
      <c r="AR20" s="387"/>
      <c r="AS20" s="454"/>
      <c r="AT20" s="454"/>
      <c r="AU20" s="454"/>
      <c r="AV20" s="454"/>
      <c r="AW20" s="454"/>
      <c r="AX20" s="454"/>
      <c r="AY20" s="454"/>
      <c r="AZ20" s="454"/>
      <c r="BA20" s="454"/>
      <c r="BB20" s="454"/>
      <c r="BC20" s="454"/>
      <c r="BD20" s="454"/>
      <c r="BE20" s="454"/>
      <c r="BF20" s="454"/>
      <c r="BG20" s="454"/>
      <c r="BH20" s="454"/>
      <c r="BI20" s="454"/>
      <c r="BJ20" s="454"/>
      <c r="BK20" s="445">
        <f>IF(BK$6&lt;'Data Entry'!$B$12-1,'Data Entry'!$H32,0)</f>
        <v>0</v>
      </c>
      <c r="BL20" s="387"/>
      <c r="BM20" s="454"/>
      <c r="BN20" s="454"/>
      <c r="BO20" s="454"/>
      <c r="BP20" s="454"/>
      <c r="BQ20" s="454"/>
      <c r="BR20" s="454"/>
      <c r="BS20" s="454"/>
      <c r="BT20" s="454"/>
      <c r="BU20" s="454"/>
      <c r="BV20" s="454"/>
      <c r="BW20" s="454"/>
      <c r="BX20" s="454"/>
      <c r="BY20" s="454"/>
      <c r="BZ20" s="454"/>
      <c r="CA20" s="455"/>
      <c r="CB20" s="387"/>
      <c r="CC20" s="454"/>
      <c r="CD20" s="454"/>
      <c r="CE20" s="177">
        <f>IF(CE$6&lt;'Data Entry'!$B$12,'Data Entry'!$H32,0)</f>
        <v>0</v>
      </c>
      <c r="CF20" s="387"/>
      <c r="CG20" s="454"/>
      <c r="CH20" s="454"/>
      <c r="CI20" s="454"/>
      <c r="CJ20" s="454"/>
      <c r="CK20" s="454"/>
      <c r="CL20" s="454"/>
      <c r="CM20" s="454"/>
      <c r="CN20" s="454"/>
      <c r="CO20" s="454"/>
      <c r="CP20" s="454"/>
      <c r="CQ20" s="454"/>
      <c r="CR20" s="454"/>
      <c r="CS20" s="454"/>
      <c r="CT20" s="454"/>
      <c r="CU20" s="454"/>
      <c r="CV20" s="454"/>
      <c r="CW20" s="454"/>
      <c r="CX20" s="454"/>
      <c r="CY20" s="454"/>
    </row>
    <row r="21" spans="1:103" ht="15" customHeight="1" x14ac:dyDescent="0.2">
      <c r="A21" s="1061"/>
      <c r="B21" s="328" t="s">
        <v>313</v>
      </c>
      <c r="C21" s="269">
        <f t="shared" si="2"/>
        <v>0</v>
      </c>
      <c r="D21" s="453">
        <f>SUM('Data Entry'!G34:G35)</f>
        <v>0</v>
      </c>
      <c r="E21" s="454"/>
      <c r="F21" s="454"/>
      <c r="G21" s="454"/>
      <c r="H21" s="454"/>
      <c r="I21" s="454"/>
      <c r="J21" s="454"/>
      <c r="K21" s="454"/>
      <c r="L21" s="454"/>
      <c r="M21" s="454"/>
      <c r="N21" s="454"/>
      <c r="O21" s="454"/>
      <c r="P21" s="454"/>
      <c r="Q21" s="454"/>
      <c r="R21" s="454"/>
      <c r="S21" s="454"/>
      <c r="T21" s="454"/>
      <c r="U21" s="454"/>
      <c r="V21" s="454"/>
      <c r="W21" s="177">
        <f>'Data Entry'!$B$34*'Cost Data'!$C$42+'Data Entry'!$B$35*'Cost Data'!$C$43</f>
        <v>0</v>
      </c>
      <c r="X21" s="454"/>
      <c r="Y21" s="454"/>
      <c r="Z21" s="454"/>
      <c r="AA21" s="454"/>
      <c r="AB21" s="454"/>
      <c r="AC21" s="454"/>
      <c r="AD21" s="454"/>
      <c r="AE21" s="454"/>
      <c r="AF21" s="454"/>
      <c r="AG21" s="454"/>
      <c r="AH21" s="454"/>
      <c r="AI21" s="454"/>
      <c r="AJ21" s="454"/>
      <c r="AK21" s="454"/>
      <c r="AL21" s="454"/>
      <c r="AM21" s="454"/>
      <c r="AN21" s="454"/>
      <c r="AO21" s="455"/>
      <c r="AP21" s="454"/>
      <c r="AQ21" s="177">
        <f>'Data Entry'!$B$34*'Cost Data'!$C$42+'Data Entry'!$B$35*'Cost Data'!$C$43</f>
        <v>0</v>
      </c>
      <c r="AR21" s="454"/>
      <c r="AS21" s="454"/>
      <c r="AT21" s="454"/>
      <c r="AU21" s="454"/>
      <c r="AV21" s="454"/>
      <c r="AW21" s="454"/>
      <c r="AX21" s="454"/>
      <c r="AY21" s="454"/>
      <c r="AZ21" s="454"/>
      <c r="BA21" s="454"/>
      <c r="BB21" s="454"/>
      <c r="BC21" s="454"/>
      <c r="BD21" s="454"/>
      <c r="BE21" s="454"/>
      <c r="BF21" s="454"/>
      <c r="BG21" s="454"/>
      <c r="BH21" s="454"/>
      <c r="BI21" s="454"/>
      <c r="BJ21" s="454"/>
      <c r="BK21" s="445">
        <f>IF(BK$6&lt;'Data Entry'!$B$12,'Data Entry'!$B$34*'Cost Data'!$C$42+'Data Entry'!$B$35*'Cost Data'!$C$43,0)</f>
        <v>0</v>
      </c>
      <c r="BL21" s="387"/>
      <c r="BM21" s="454"/>
      <c r="BN21" s="454"/>
      <c r="BO21" s="454"/>
      <c r="BP21" s="454"/>
      <c r="BQ21" s="454"/>
      <c r="BR21" s="454"/>
      <c r="BS21" s="454"/>
      <c r="BT21" s="454"/>
      <c r="BU21" s="454"/>
      <c r="BV21" s="454"/>
      <c r="BW21" s="454"/>
      <c r="BX21" s="454"/>
      <c r="BY21" s="454"/>
      <c r="BZ21" s="454"/>
      <c r="CA21" s="455"/>
      <c r="CB21" s="387"/>
      <c r="CC21" s="454"/>
      <c r="CD21" s="454"/>
      <c r="CE21" s="177">
        <f>IF(CE$6&lt;'Data Entry'!$B$12,'Data Entry'!$B$34*'Cost Data'!$C$42+'Data Entry'!$B$35*'Cost Data'!$C$43,0)</f>
        <v>0</v>
      </c>
      <c r="CF21" s="454"/>
      <c r="CG21" s="454"/>
      <c r="CH21" s="454"/>
      <c r="CI21" s="454"/>
      <c r="CJ21" s="454"/>
      <c r="CK21" s="454"/>
      <c r="CL21" s="454"/>
      <c r="CM21" s="454"/>
      <c r="CN21" s="454"/>
      <c r="CO21" s="454"/>
      <c r="CP21" s="454"/>
      <c r="CQ21" s="454"/>
      <c r="CR21" s="454"/>
      <c r="CS21" s="454"/>
      <c r="CT21" s="454"/>
      <c r="CU21" s="454"/>
      <c r="CV21" s="454"/>
      <c r="CW21" s="454"/>
      <c r="CX21" s="454"/>
      <c r="CY21" s="454"/>
    </row>
    <row r="22" spans="1:103" ht="15" customHeight="1" x14ac:dyDescent="0.2">
      <c r="A22" s="1061"/>
      <c r="B22" s="328" t="s">
        <v>153</v>
      </c>
      <c r="C22" s="269">
        <f t="shared" si="2"/>
        <v>0</v>
      </c>
      <c r="D22" s="453">
        <f>'Data Entry'!M64</f>
        <v>0</v>
      </c>
      <c r="E22" s="454"/>
      <c r="F22" s="454"/>
      <c r="G22" s="454"/>
      <c r="H22" s="454"/>
      <c r="I22" s="454"/>
      <c r="J22" s="454"/>
      <c r="K22" s="454"/>
      <c r="L22" s="454"/>
      <c r="M22" s="454"/>
      <c r="N22" s="454"/>
      <c r="O22" s="454"/>
      <c r="P22" s="454"/>
      <c r="Q22" s="454"/>
      <c r="R22" s="454"/>
      <c r="S22" s="454"/>
      <c r="T22" s="454"/>
      <c r="U22" s="454"/>
      <c r="V22" s="454"/>
      <c r="W22" s="454"/>
      <c r="X22" s="454"/>
      <c r="Y22" s="454"/>
      <c r="Z22" s="454"/>
      <c r="AA22" s="454"/>
      <c r="AB22" s="454"/>
      <c r="AC22" s="454"/>
      <c r="AD22" s="454"/>
      <c r="AE22" s="454"/>
      <c r="AF22" s="454"/>
      <c r="AG22" s="454"/>
      <c r="AH22" s="454"/>
      <c r="AI22" s="454"/>
      <c r="AJ22" s="454"/>
      <c r="AK22" s="454"/>
      <c r="AL22" s="454"/>
      <c r="AM22" s="454"/>
      <c r="AN22" s="454"/>
      <c r="AO22" s="445">
        <f>IF('Data Entry'!B12&gt;40,'Data Entry'!M59,0)</f>
        <v>0</v>
      </c>
      <c r="AP22" s="387"/>
      <c r="AQ22" s="454"/>
      <c r="AR22" s="454"/>
      <c r="AS22" s="454"/>
      <c r="AT22" s="454"/>
      <c r="AU22" s="454"/>
      <c r="AV22" s="454"/>
      <c r="AW22" s="454"/>
      <c r="AX22" s="454"/>
      <c r="AY22" s="454"/>
      <c r="AZ22" s="454"/>
      <c r="BA22" s="454"/>
      <c r="BB22" s="454"/>
      <c r="BC22" s="454"/>
      <c r="BD22" s="454"/>
      <c r="BE22" s="454"/>
      <c r="BF22" s="454"/>
      <c r="BG22" s="454"/>
      <c r="BH22" s="454"/>
      <c r="BI22" s="454"/>
      <c r="BJ22" s="454"/>
      <c r="BK22" s="445">
        <f>IF(BK$6&lt;'Data Entry'!$B$12-1,'Data Entry'!M61,0)</f>
        <v>0</v>
      </c>
      <c r="BL22" s="387"/>
      <c r="BM22" s="454"/>
      <c r="BN22" s="454"/>
      <c r="BO22" s="454"/>
      <c r="BP22" s="454"/>
      <c r="BQ22" s="454"/>
      <c r="BR22" s="454"/>
      <c r="BS22" s="454"/>
      <c r="BT22" s="454"/>
      <c r="BU22" s="454"/>
      <c r="BV22" s="454"/>
      <c r="BW22" s="454"/>
      <c r="BX22" s="454"/>
      <c r="BY22" s="454"/>
      <c r="BZ22" s="454"/>
      <c r="CA22" s="445">
        <f>IF(CA$6&lt;'Data Entry'!$B$12-1,'Data Entry'!M59+'Data Entry'!M60,0)</f>
        <v>0</v>
      </c>
      <c r="CB22" s="387"/>
      <c r="CC22" s="454"/>
      <c r="CD22" s="454"/>
      <c r="CE22" s="454"/>
      <c r="CF22" s="454"/>
      <c r="CG22" s="454"/>
      <c r="CH22" s="454"/>
      <c r="CI22" s="454"/>
      <c r="CJ22" s="454"/>
      <c r="CK22" s="454"/>
      <c r="CL22" s="454"/>
      <c r="CM22" s="454"/>
      <c r="CN22" s="454"/>
      <c r="CO22" s="454"/>
      <c r="CP22" s="454"/>
      <c r="CQ22" s="454"/>
      <c r="CR22" s="454"/>
      <c r="CS22" s="454"/>
      <c r="CT22" s="454"/>
      <c r="CU22" s="454"/>
      <c r="CV22" s="454"/>
      <c r="CW22" s="454"/>
      <c r="CX22" s="454"/>
      <c r="CY22" s="454"/>
    </row>
    <row r="23" spans="1:103" ht="15" customHeight="1" x14ac:dyDescent="0.2">
      <c r="A23" s="1061"/>
      <c r="B23" s="328" t="s">
        <v>152</v>
      </c>
      <c r="C23" s="269">
        <f t="shared" si="2"/>
        <v>0</v>
      </c>
      <c r="D23" s="453">
        <f>'Data Entry'!M68</f>
        <v>0</v>
      </c>
      <c r="E23" s="454"/>
      <c r="F23" s="454"/>
      <c r="G23" s="454"/>
      <c r="H23" s="454"/>
      <c r="I23" s="454"/>
      <c r="J23" s="454"/>
      <c r="K23" s="454"/>
      <c r="L23" s="454"/>
      <c r="M23" s="454"/>
      <c r="N23" s="454"/>
      <c r="O23" s="454"/>
      <c r="P23" s="454"/>
      <c r="Q23" s="454"/>
      <c r="R23" s="454"/>
      <c r="S23" s="454"/>
      <c r="T23" s="454"/>
      <c r="U23" s="454"/>
      <c r="V23" s="454"/>
      <c r="W23" s="454"/>
      <c r="X23" s="454"/>
      <c r="Y23" s="454"/>
      <c r="Z23" s="454"/>
      <c r="AA23" s="454"/>
      <c r="AB23" s="454"/>
      <c r="AC23" s="454"/>
      <c r="AD23" s="454"/>
      <c r="AE23" s="454"/>
      <c r="AF23" s="454"/>
      <c r="AG23" s="454"/>
      <c r="AH23" s="454"/>
      <c r="AI23" s="454"/>
      <c r="AJ23" s="454"/>
      <c r="AK23" s="454"/>
      <c r="AL23" s="454"/>
      <c r="AM23" s="454"/>
      <c r="AN23" s="454"/>
      <c r="AO23" s="455"/>
      <c r="AP23" s="387"/>
      <c r="AQ23" s="454"/>
      <c r="AR23" s="454"/>
      <c r="AS23" s="454"/>
      <c r="AT23" s="454"/>
      <c r="AU23" s="454"/>
      <c r="AV23" s="454"/>
      <c r="AW23" s="454"/>
      <c r="AX23" s="454"/>
      <c r="AY23" s="454"/>
      <c r="AZ23" s="454"/>
      <c r="BA23" s="454"/>
      <c r="BB23" s="454"/>
      <c r="BC23" s="454"/>
      <c r="BD23" s="454"/>
      <c r="BE23" s="454"/>
      <c r="BF23" s="454"/>
      <c r="BG23" s="454"/>
      <c r="BH23" s="454"/>
      <c r="BI23" s="454"/>
      <c r="BJ23" s="454"/>
      <c r="BK23" s="455"/>
      <c r="BL23" s="387"/>
      <c r="BM23" s="454"/>
      <c r="BN23" s="454"/>
      <c r="BO23" s="454"/>
      <c r="BP23" s="454"/>
      <c r="BQ23" s="454"/>
      <c r="BR23" s="454"/>
      <c r="BS23" s="454"/>
      <c r="BT23" s="454"/>
      <c r="BU23" s="454"/>
      <c r="BV23" s="454"/>
      <c r="BW23" s="454"/>
      <c r="BX23" s="454"/>
      <c r="BY23" s="454"/>
      <c r="BZ23" s="454"/>
      <c r="CA23" s="455"/>
      <c r="CB23" s="387"/>
      <c r="CC23" s="454"/>
      <c r="CD23" s="454"/>
      <c r="CE23" s="454"/>
      <c r="CF23" s="454"/>
      <c r="CG23" s="454"/>
      <c r="CH23" s="454"/>
      <c r="CI23" s="454"/>
      <c r="CJ23" s="454"/>
      <c r="CK23" s="454"/>
      <c r="CL23" s="454"/>
      <c r="CM23" s="454"/>
      <c r="CN23" s="454"/>
      <c r="CO23" s="454"/>
      <c r="CP23" s="454"/>
      <c r="CQ23" s="454"/>
      <c r="CR23" s="454"/>
      <c r="CS23" s="454"/>
      <c r="CT23" s="454"/>
      <c r="CU23" s="454"/>
      <c r="CV23" s="454"/>
      <c r="CW23" s="454"/>
      <c r="CX23" s="454"/>
      <c r="CY23" s="454"/>
    </row>
    <row r="24" spans="1:103" ht="15" customHeight="1" x14ac:dyDescent="0.2">
      <c r="A24" s="1061"/>
      <c r="B24" s="452" t="s">
        <v>121</v>
      </c>
      <c r="C24" s="269">
        <f t="shared" si="2"/>
        <v>0</v>
      </c>
      <c r="D24" s="453">
        <f>'Data Entry'!N64</f>
        <v>0</v>
      </c>
      <c r="E24" s="454"/>
      <c r="F24" s="454"/>
      <c r="G24" s="454"/>
      <c r="H24" s="454"/>
      <c r="I24" s="454"/>
      <c r="J24" s="454"/>
      <c r="K24" s="454"/>
      <c r="L24" s="454"/>
      <c r="M24" s="454"/>
      <c r="N24" s="454"/>
      <c r="O24" s="454"/>
      <c r="P24" s="454"/>
      <c r="Q24" s="454"/>
      <c r="R24" s="454"/>
      <c r="S24" s="454"/>
      <c r="T24" s="454"/>
      <c r="U24" s="454"/>
      <c r="V24" s="454"/>
      <c r="W24" s="454"/>
      <c r="X24" s="454"/>
      <c r="Y24" s="454"/>
      <c r="Z24" s="454"/>
      <c r="AA24" s="454"/>
      <c r="AB24" s="454"/>
      <c r="AC24" s="454"/>
      <c r="AD24" s="454"/>
      <c r="AE24" s="454"/>
      <c r="AF24" s="454"/>
      <c r="AG24" s="454"/>
      <c r="AH24" s="454"/>
      <c r="AI24" s="454"/>
      <c r="AJ24" s="454"/>
      <c r="AK24" s="454"/>
      <c r="AL24" s="454"/>
      <c r="AM24" s="454"/>
      <c r="AN24" s="454"/>
      <c r="AO24" s="445">
        <f>IF('Data Entry'!B12&gt;40,'Data Entry'!N59,0)</f>
        <v>0</v>
      </c>
      <c r="AP24" s="387"/>
      <c r="AQ24" s="454"/>
      <c r="AR24" s="454"/>
      <c r="AS24" s="454"/>
      <c r="AT24" s="454"/>
      <c r="AU24" s="454"/>
      <c r="AV24" s="454"/>
      <c r="AW24" s="454"/>
      <c r="AX24" s="454"/>
      <c r="AY24" s="454"/>
      <c r="AZ24" s="454"/>
      <c r="BA24" s="454"/>
      <c r="BB24" s="454"/>
      <c r="BC24" s="454"/>
      <c r="BD24" s="454"/>
      <c r="BE24" s="454"/>
      <c r="BF24" s="454"/>
      <c r="BG24" s="454"/>
      <c r="BH24" s="454"/>
      <c r="BI24" s="454"/>
      <c r="BJ24" s="454"/>
      <c r="BK24" s="445">
        <f>IF(BK6&lt;'Data Entry'!$B$12-1,'Data Entry'!N61,0)</f>
        <v>0</v>
      </c>
      <c r="BL24" s="387"/>
      <c r="BM24" s="454"/>
      <c r="BN24" s="454"/>
      <c r="BO24" s="454"/>
      <c r="BP24" s="454"/>
      <c r="BQ24" s="454"/>
      <c r="BR24" s="454"/>
      <c r="BS24" s="454"/>
      <c r="BT24" s="454"/>
      <c r="BU24" s="454"/>
      <c r="BV24" s="454"/>
      <c r="BW24" s="454"/>
      <c r="BX24" s="454"/>
      <c r="BY24" s="454"/>
      <c r="BZ24" s="454"/>
      <c r="CA24" s="445">
        <f>IF(CA$6&lt;'Data Entry'!$B$12-1,'Data Entry'!N59+'Data Entry'!N60,0)</f>
        <v>0</v>
      </c>
      <c r="CB24" s="387"/>
      <c r="CC24" s="454"/>
      <c r="CD24" s="454"/>
      <c r="CE24" s="454"/>
      <c r="CF24" s="454"/>
      <c r="CG24" s="454"/>
      <c r="CH24" s="454"/>
      <c r="CI24" s="454"/>
      <c r="CJ24" s="454"/>
      <c r="CK24" s="454"/>
      <c r="CL24" s="454"/>
      <c r="CM24" s="454"/>
      <c r="CN24" s="454"/>
      <c r="CO24" s="454"/>
      <c r="CP24" s="454"/>
      <c r="CQ24" s="454"/>
      <c r="CR24" s="454"/>
      <c r="CS24" s="454"/>
      <c r="CT24" s="454"/>
      <c r="CU24" s="454"/>
      <c r="CV24" s="454"/>
      <c r="CW24" s="454"/>
      <c r="CX24" s="454"/>
      <c r="CY24" s="454"/>
    </row>
    <row r="25" spans="1:103" ht="15" customHeight="1" x14ac:dyDescent="0.2">
      <c r="A25" s="1061"/>
      <c r="B25" s="452" t="s">
        <v>122</v>
      </c>
      <c r="C25" s="269">
        <f t="shared" si="2"/>
        <v>0</v>
      </c>
      <c r="D25" s="453">
        <f>'Data Entry'!N68</f>
        <v>0</v>
      </c>
      <c r="E25" s="454"/>
      <c r="F25" s="454"/>
      <c r="G25" s="454"/>
      <c r="H25" s="454"/>
      <c r="I25" s="454"/>
      <c r="J25" s="454"/>
      <c r="K25" s="454"/>
      <c r="L25" s="454"/>
      <c r="M25" s="454"/>
      <c r="N25" s="454"/>
      <c r="O25" s="454"/>
      <c r="P25" s="454"/>
      <c r="Q25" s="454"/>
      <c r="R25" s="454"/>
      <c r="S25" s="454"/>
      <c r="T25" s="454"/>
      <c r="U25" s="454"/>
      <c r="V25" s="454"/>
      <c r="W25" s="454"/>
      <c r="X25" s="454"/>
      <c r="Y25" s="454"/>
      <c r="Z25" s="454"/>
      <c r="AA25" s="454"/>
      <c r="AB25" s="454"/>
      <c r="AC25" s="454"/>
      <c r="AD25" s="454"/>
      <c r="AE25" s="454"/>
      <c r="AF25" s="454"/>
      <c r="AG25" s="454"/>
      <c r="AH25" s="454"/>
      <c r="AI25" s="454"/>
      <c r="AJ25" s="454"/>
      <c r="AK25" s="454"/>
      <c r="AL25" s="454"/>
      <c r="AM25" s="454"/>
      <c r="AN25" s="454"/>
      <c r="AO25" s="455"/>
      <c r="AP25" s="387"/>
      <c r="AQ25" s="454"/>
      <c r="AR25" s="454"/>
      <c r="AS25" s="454"/>
      <c r="AT25" s="454"/>
      <c r="AU25" s="454"/>
      <c r="AV25" s="454"/>
      <c r="AW25" s="454"/>
      <c r="AX25" s="454"/>
      <c r="AY25" s="454"/>
      <c r="AZ25" s="454"/>
      <c r="BA25" s="454"/>
      <c r="BB25" s="454"/>
      <c r="BC25" s="454"/>
      <c r="BD25" s="454"/>
      <c r="BE25" s="454"/>
      <c r="BF25" s="454"/>
      <c r="BG25" s="454"/>
      <c r="BH25" s="454"/>
      <c r="BI25" s="454"/>
      <c r="BJ25" s="454"/>
      <c r="BK25" s="455"/>
      <c r="BL25" s="387"/>
      <c r="BM25" s="454"/>
      <c r="BN25" s="454"/>
      <c r="BO25" s="454"/>
      <c r="BP25" s="454"/>
      <c r="BQ25" s="454"/>
      <c r="BR25" s="454"/>
      <c r="BS25" s="454"/>
      <c r="BT25" s="454"/>
      <c r="BU25" s="454"/>
      <c r="BV25" s="454"/>
      <c r="BW25" s="454"/>
      <c r="BX25" s="454"/>
      <c r="BY25" s="454"/>
      <c r="BZ25" s="454"/>
      <c r="CA25" s="455"/>
      <c r="CB25" s="387"/>
      <c r="CC25" s="454"/>
      <c r="CD25" s="454"/>
      <c r="CE25" s="454"/>
      <c r="CF25" s="454"/>
      <c r="CG25" s="454"/>
      <c r="CH25" s="454"/>
      <c r="CI25" s="454"/>
      <c r="CJ25" s="454"/>
      <c r="CK25" s="454"/>
      <c r="CL25" s="454"/>
      <c r="CM25" s="454"/>
      <c r="CN25" s="454"/>
      <c r="CO25" s="454"/>
      <c r="CP25" s="454"/>
      <c r="CQ25" s="454"/>
      <c r="CR25" s="454"/>
      <c r="CS25" s="454"/>
      <c r="CT25" s="454"/>
      <c r="CU25" s="454"/>
      <c r="CV25" s="454"/>
      <c r="CW25" s="454"/>
      <c r="CX25" s="454"/>
      <c r="CY25" s="454"/>
    </row>
    <row r="26" spans="1:103" ht="15" customHeight="1" x14ac:dyDescent="0.2">
      <c r="A26" s="1061"/>
      <c r="B26" s="452" t="s">
        <v>144</v>
      </c>
      <c r="C26" s="269">
        <f t="shared" si="2"/>
        <v>0</v>
      </c>
      <c r="D26" s="453">
        <f>'Data Entry'!W64+'Data Entry'!W68</f>
        <v>0</v>
      </c>
      <c r="E26" s="454"/>
      <c r="F26" s="454"/>
      <c r="G26" s="454"/>
      <c r="H26" s="454"/>
      <c r="I26" s="454"/>
      <c r="J26" s="454"/>
      <c r="K26" s="454"/>
      <c r="L26" s="454"/>
      <c r="M26" s="454"/>
      <c r="N26" s="454"/>
      <c r="O26" s="454"/>
      <c r="P26" s="454"/>
      <c r="Q26" s="454"/>
      <c r="R26" s="454"/>
      <c r="S26" s="454"/>
      <c r="T26" s="454"/>
      <c r="U26" s="454"/>
      <c r="V26" s="454"/>
      <c r="W26" s="454"/>
      <c r="X26" s="454"/>
      <c r="Y26" s="454"/>
      <c r="Z26" s="454"/>
      <c r="AA26" s="454"/>
      <c r="AB26" s="454"/>
      <c r="AC26" s="454"/>
      <c r="AD26" s="454"/>
      <c r="AE26" s="454"/>
      <c r="AF26" s="454"/>
      <c r="AG26" s="454"/>
      <c r="AH26" s="454"/>
      <c r="AI26" s="454"/>
      <c r="AJ26" s="454"/>
      <c r="AK26" s="454"/>
      <c r="AL26" s="454"/>
      <c r="AM26" s="454"/>
      <c r="AN26" s="454"/>
      <c r="AO26" s="445">
        <f>IF('Data Entry'!B12&gt;40,'Data Entry'!W59,0)</f>
        <v>0</v>
      </c>
      <c r="AP26" s="387"/>
      <c r="AQ26" s="454"/>
      <c r="AR26" s="454"/>
      <c r="AS26" s="454"/>
      <c r="AT26" s="454"/>
      <c r="AU26" s="454"/>
      <c r="AV26" s="454"/>
      <c r="AW26" s="454"/>
      <c r="AX26" s="454"/>
      <c r="AY26" s="454"/>
      <c r="AZ26" s="454"/>
      <c r="BA26" s="454"/>
      <c r="BB26" s="454"/>
      <c r="BC26" s="454"/>
      <c r="BD26" s="454"/>
      <c r="BE26" s="454"/>
      <c r="BF26" s="454"/>
      <c r="BG26" s="454"/>
      <c r="BH26" s="454"/>
      <c r="BI26" s="454"/>
      <c r="BJ26" s="454"/>
      <c r="BK26" s="445">
        <f>IF(BK$6&lt;'Data Entry'!$B$12-1,'Data Entry'!W61,0)</f>
        <v>0</v>
      </c>
      <c r="BL26" s="387"/>
      <c r="BM26" s="454"/>
      <c r="BN26" s="454"/>
      <c r="BO26" s="454"/>
      <c r="BP26" s="454"/>
      <c r="BQ26" s="454"/>
      <c r="BR26" s="454"/>
      <c r="BS26" s="454"/>
      <c r="BT26" s="454"/>
      <c r="BU26" s="454"/>
      <c r="BV26" s="454"/>
      <c r="BW26" s="454"/>
      <c r="BX26" s="454"/>
      <c r="BY26" s="454"/>
      <c r="BZ26" s="454"/>
      <c r="CA26" s="445">
        <f>IF(CA$6&lt;'Data Entry'!$B$12-1,'Data Entry'!W59+'Data Entry'!W60,0)</f>
        <v>0</v>
      </c>
      <c r="CB26" s="387"/>
      <c r="CC26" s="454"/>
      <c r="CD26" s="454"/>
      <c r="CE26" s="454"/>
      <c r="CF26" s="454"/>
      <c r="CG26" s="454"/>
      <c r="CH26" s="454"/>
      <c r="CI26" s="454"/>
      <c r="CJ26" s="454"/>
      <c r="CK26" s="454"/>
      <c r="CL26" s="454"/>
      <c r="CM26" s="454"/>
      <c r="CN26" s="454"/>
      <c r="CO26" s="454"/>
      <c r="CP26" s="454"/>
      <c r="CQ26" s="454"/>
      <c r="CR26" s="454"/>
      <c r="CS26" s="454"/>
      <c r="CT26" s="454"/>
      <c r="CU26" s="454"/>
      <c r="CV26" s="454"/>
      <c r="CW26" s="454"/>
      <c r="CX26" s="454"/>
      <c r="CY26" s="454"/>
    </row>
    <row r="27" spans="1:103" ht="15" customHeight="1" x14ac:dyDescent="0.2">
      <c r="A27" s="1061"/>
      <c r="B27" s="328" t="s">
        <v>351</v>
      </c>
      <c r="C27" s="269">
        <f t="shared" si="2"/>
        <v>0</v>
      </c>
      <c r="D27" s="453">
        <f>'Data Entry'!$Z$64+'Data Entry'!$Z$68</f>
        <v>0</v>
      </c>
      <c r="E27" s="454"/>
      <c r="F27" s="454"/>
      <c r="G27" s="454"/>
      <c r="H27" s="454"/>
      <c r="I27" s="454"/>
      <c r="J27" s="454"/>
      <c r="K27" s="454"/>
      <c r="L27" s="454"/>
      <c r="M27" s="454"/>
      <c r="N27" s="454"/>
      <c r="O27" s="454"/>
      <c r="P27" s="454"/>
      <c r="Q27" s="454"/>
      <c r="R27" s="454"/>
      <c r="S27" s="454"/>
      <c r="T27" s="454"/>
      <c r="U27" s="454"/>
      <c r="V27" s="454"/>
      <c r="W27" s="454"/>
      <c r="X27" s="454"/>
      <c r="Y27" s="454"/>
      <c r="Z27" s="454"/>
      <c r="AA27" s="454"/>
      <c r="AB27" s="454"/>
      <c r="AC27" s="454"/>
      <c r="AD27" s="454"/>
      <c r="AE27" s="454"/>
      <c r="AF27" s="454"/>
      <c r="AG27" s="454"/>
      <c r="AH27" s="454"/>
      <c r="AI27" s="454"/>
      <c r="AJ27" s="454"/>
      <c r="AK27" s="454"/>
      <c r="AL27" s="454"/>
      <c r="AM27" s="454"/>
      <c r="AN27" s="454"/>
      <c r="AO27" s="445">
        <f>IF('Data Entry'!B12&gt;40,'Data Entry'!Z59,0)</f>
        <v>0</v>
      </c>
      <c r="AP27" s="387"/>
      <c r="AQ27" s="454"/>
      <c r="AR27" s="454"/>
      <c r="AS27" s="454"/>
      <c r="AT27" s="454"/>
      <c r="AU27" s="454"/>
      <c r="AV27" s="454"/>
      <c r="AW27" s="454"/>
      <c r="AX27" s="454"/>
      <c r="AY27" s="454"/>
      <c r="AZ27" s="454"/>
      <c r="BA27" s="454"/>
      <c r="BB27" s="454"/>
      <c r="BC27" s="454"/>
      <c r="BD27" s="454"/>
      <c r="BE27" s="454"/>
      <c r="BF27" s="454"/>
      <c r="BG27" s="454"/>
      <c r="BH27" s="454"/>
      <c r="BI27" s="454"/>
      <c r="BJ27" s="454"/>
      <c r="BK27" s="445">
        <f>IF(BK$6&lt;'Data Entry'!$B$12-1,'Data Entry'!Z61,0)</f>
        <v>0</v>
      </c>
      <c r="BL27" s="387"/>
      <c r="BM27" s="454"/>
      <c r="BN27" s="454"/>
      <c r="BO27" s="454"/>
      <c r="BP27" s="454"/>
      <c r="BQ27" s="454"/>
      <c r="BR27" s="454"/>
      <c r="BS27" s="454"/>
      <c r="BT27" s="454"/>
      <c r="BU27" s="454"/>
      <c r="BV27" s="454"/>
      <c r="BW27" s="454"/>
      <c r="BX27" s="454"/>
      <c r="BY27" s="454"/>
      <c r="BZ27" s="454"/>
      <c r="CA27" s="445">
        <f>IF(CA$6&lt;'Data Entry'!$B$12-1,'Data Entry'!Z59+'Data Entry'!Z60,0)</f>
        <v>0</v>
      </c>
      <c r="CB27" s="387"/>
      <c r="CC27" s="454"/>
      <c r="CD27" s="454"/>
      <c r="CE27" s="454"/>
      <c r="CF27" s="454"/>
      <c r="CG27" s="454"/>
      <c r="CH27" s="454"/>
      <c r="CI27" s="454"/>
      <c r="CJ27" s="454"/>
      <c r="CK27" s="454"/>
      <c r="CL27" s="454"/>
      <c r="CM27" s="454"/>
      <c r="CN27" s="454"/>
      <c r="CO27" s="454"/>
      <c r="CP27" s="454"/>
      <c r="CQ27" s="454"/>
      <c r="CR27" s="454"/>
      <c r="CS27" s="454"/>
      <c r="CT27" s="454"/>
      <c r="CU27" s="454"/>
      <c r="CV27" s="454"/>
      <c r="CW27" s="454"/>
      <c r="CX27" s="454"/>
      <c r="CY27" s="454"/>
    </row>
    <row r="28" spans="1:103" ht="15" customHeight="1" x14ac:dyDescent="0.2">
      <c r="A28" s="1061"/>
      <c r="B28" s="31" t="s">
        <v>525</v>
      </c>
      <c r="C28" s="269">
        <f>SUM(D28:CY28)</f>
        <v>0</v>
      </c>
      <c r="D28" s="177">
        <f>'Data Entry'!AA64+'Data Entry'!AA68</f>
        <v>0</v>
      </c>
      <c r="E28" s="459"/>
      <c r="F28" s="459"/>
      <c r="G28" s="459"/>
      <c r="H28" s="459"/>
      <c r="I28" s="459"/>
      <c r="J28" s="459"/>
      <c r="K28" s="459"/>
      <c r="L28" s="459"/>
      <c r="M28" s="459"/>
      <c r="N28" s="459"/>
      <c r="O28" s="459"/>
      <c r="P28" s="459"/>
      <c r="Q28" s="459"/>
      <c r="R28" s="459"/>
      <c r="S28" s="459"/>
      <c r="T28" s="459"/>
      <c r="U28" s="459"/>
      <c r="V28" s="459"/>
      <c r="W28" s="459"/>
      <c r="X28" s="459"/>
      <c r="Y28" s="459"/>
      <c r="Z28" s="459"/>
      <c r="AA28" s="459"/>
      <c r="AB28" s="459"/>
      <c r="AC28" s="459"/>
      <c r="AD28" s="459"/>
      <c r="AE28" s="459"/>
      <c r="AF28" s="459"/>
      <c r="AG28" s="459"/>
      <c r="AH28" s="459"/>
      <c r="AI28" s="459"/>
      <c r="AJ28" s="459"/>
      <c r="AK28" s="459"/>
      <c r="AL28" s="459"/>
      <c r="AM28" s="459"/>
      <c r="AN28" s="459"/>
      <c r="AO28" s="460"/>
      <c r="AP28" s="459"/>
      <c r="AQ28" s="459"/>
      <c r="AR28" s="459"/>
      <c r="AS28" s="459"/>
      <c r="AT28" s="459"/>
      <c r="AU28" s="459"/>
      <c r="AV28" s="459"/>
      <c r="AW28" s="459"/>
      <c r="AX28" s="459"/>
      <c r="AY28" s="459"/>
      <c r="AZ28" s="459"/>
      <c r="BA28" s="459"/>
      <c r="BB28" s="459"/>
      <c r="BC28" s="459"/>
      <c r="BD28" s="459"/>
      <c r="BE28" s="459"/>
      <c r="BF28" s="459"/>
      <c r="BG28" s="459"/>
      <c r="BH28" s="459"/>
      <c r="BI28" s="459"/>
      <c r="BJ28" s="459"/>
      <c r="BK28" s="460"/>
      <c r="BL28" s="459"/>
      <c r="BM28" s="459"/>
      <c r="BN28" s="459"/>
      <c r="BO28" s="459"/>
      <c r="BP28" s="459"/>
      <c r="BQ28" s="459"/>
      <c r="BR28" s="459"/>
      <c r="BS28" s="459"/>
      <c r="BT28" s="459"/>
      <c r="BU28" s="459"/>
      <c r="BV28" s="459"/>
      <c r="BW28" s="459"/>
      <c r="BX28" s="459"/>
      <c r="BY28" s="459"/>
      <c r="BZ28" s="459"/>
      <c r="CA28" s="460"/>
      <c r="CB28" s="459"/>
      <c r="CC28" s="459"/>
      <c r="CD28" s="459"/>
      <c r="CE28" s="459"/>
      <c r="CF28" s="459"/>
      <c r="CG28" s="459"/>
      <c r="CH28" s="459"/>
      <c r="CI28" s="459"/>
      <c r="CJ28" s="459"/>
      <c r="CK28" s="459"/>
      <c r="CL28" s="459"/>
      <c r="CM28" s="459"/>
      <c r="CN28" s="459"/>
      <c r="CO28" s="459"/>
      <c r="CP28" s="459"/>
      <c r="CQ28" s="459"/>
      <c r="CR28" s="459"/>
      <c r="CS28" s="459"/>
      <c r="CT28" s="459"/>
      <c r="CU28" s="459"/>
      <c r="CV28" s="459"/>
      <c r="CW28" s="459"/>
      <c r="CX28" s="459"/>
      <c r="CY28" s="459"/>
    </row>
    <row r="29" spans="1:103" ht="15" customHeight="1" x14ac:dyDescent="0.2">
      <c r="A29" s="1061"/>
      <c r="B29" s="452" t="s">
        <v>11</v>
      </c>
      <c r="C29" s="269">
        <f t="shared" si="2"/>
        <v>0</v>
      </c>
      <c r="D29" s="458"/>
      <c r="E29" s="177">
        <f>'Data Entry'!Q64+'Data Entry'!Q68</f>
        <v>0</v>
      </c>
      <c r="F29" s="177">
        <f>'Data Entry'!R64+'Data Entry'!R68</f>
        <v>0</v>
      </c>
      <c r="G29" s="177">
        <f>'Data Entry'!S64+'Data Entry'!S68</f>
        <v>0</v>
      </c>
      <c r="H29" s="454"/>
      <c r="I29" s="454"/>
      <c r="J29" s="454"/>
      <c r="K29" s="454"/>
      <c r="L29" s="454"/>
      <c r="M29" s="454"/>
      <c r="N29" s="454"/>
      <c r="O29" s="454"/>
      <c r="P29" s="454"/>
      <c r="Q29" s="454"/>
      <c r="R29" s="454"/>
      <c r="S29" s="454"/>
      <c r="T29" s="454"/>
      <c r="U29" s="454"/>
      <c r="V29" s="454"/>
      <c r="W29" s="454"/>
      <c r="X29" s="454"/>
      <c r="Y29" s="454"/>
      <c r="Z29" s="454"/>
      <c r="AA29" s="454"/>
      <c r="AB29" s="454"/>
      <c r="AC29" s="454"/>
      <c r="AD29" s="454"/>
      <c r="AE29" s="454"/>
      <c r="AF29" s="454"/>
      <c r="AG29" s="454"/>
      <c r="AH29" s="454"/>
      <c r="AI29" s="454"/>
      <c r="AJ29" s="454"/>
      <c r="AK29" s="454"/>
      <c r="AL29" s="454"/>
      <c r="AM29" s="454"/>
      <c r="AN29" s="454"/>
      <c r="AO29" s="455"/>
      <c r="AP29" s="177">
        <f>IF('Data Entry'!$B$12&gt;40,'Data Entry'!Q59,0)</f>
        <v>0</v>
      </c>
      <c r="AQ29" s="177">
        <f>IF('Data Entry'!$B$12&gt;40,'Data Entry'!R59,0)</f>
        <v>0</v>
      </c>
      <c r="AR29" s="177">
        <f>IF(AR6&lt;'Data Entry'!$B$12,'Data Entry'!S59,0)</f>
        <v>0</v>
      </c>
      <c r="AS29" s="387"/>
      <c r="AT29" s="145"/>
      <c r="AU29" s="145"/>
      <c r="AV29" s="145"/>
      <c r="AW29" s="454"/>
      <c r="AX29" s="454"/>
      <c r="AY29" s="454"/>
      <c r="AZ29" s="454"/>
      <c r="BA29" s="454"/>
      <c r="BB29" s="454"/>
      <c r="BC29" s="454"/>
      <c r="BD29" s="454"/>
      <c r="BE29" s="454"/>
      <c r="BF29" s="454"/>
      <c r="BG29" s="454"/>
      <c r="BH29" s="454"/>
      <c r="BI29" s="454"/>
      <c r="BJ29" s="454"/>
      <c r="BK29" s="455"/>
      <c r="BL29" s="177">
        <f>IF(BL$6&lt;'Data Entry'!$B$12,'Data Entry'!Q61,0)</f>
        <v>0</v>
      </c>
      <c r="BM29" s="177">
        <f>IF(BM$6&lt;'Data Entry'!$B$12,'Data Entry'!R61,0)</f>
        <v>0</v>
      </c>
      <c r="BN29" s="177">
        <f>IF(BN$6&lt;'Data Entry'!$B$12,'Data Entry'!S61,0)</f>
        <v>0</v>
      </c>
      <c r="BO29" s="387"/>
      <c r="BP29" s="454"/>
      <c r="BQ29" s="454"/>
      <c r="BR29" s="454"/>
      <c r="BS29" s="454"/>
      <c r="BT29" s="454"/>
      <c r="BU29" s="454"/>
      <c r="BV29" s="454"/>
      <c r="BW29" s="454"/>
      <c r="BX29" s="454"/>
      <c r="BY29" s="454"/>
      <c r="BZ29" s="454"/>
      <c r="CA29" s="455"/>
      <c r="CB29" s="177">
        <f>IF(CB$6&lt;'Data Entry'!$B$12,'Data Entry'!Q59+'Data Entry'!Q60,0)</f>
        <v>0</v>
      </c>
      <c r="CC29" s="177">
        <f>IF(CC$6&lt;'Data Entry'!$B$12,'Data Entry'!R59+'Data Entry'!R60,0)</f>
        <v>0</v>
      </c>
      <c r="CD29" s="177">
        <f>IF(CD$6&lt;'Data Entry'!$B$12,'Data Entry'!S59+'Data Entry'!S60,0)</f>
        <v>0</v>
      </c>
      <c r="CE29" s="387"/>
      <c r="CF29" s="454"/>
      <c r="CG29" s="145"/>
      <c r="CH29" s="145"/>
      <c r="CI29" s="145"/>
      <c r="CJ29" s="454"/>
      <c r="CK29" s="454"/>
      <c r="CL29" s="454"/>
      <c r="CM29" s="454"/>
      <c r="CN29" s="454"/>
      <c r="CO29" s="454"/>
      <c r="CP29" s="454"/>
      <c r="CQ29" s="454"/>
      <c r="CR29" s="454"/>
      <c r="CS29" s="454"/>
      <c r="CT29" s="454"/>
      <c r="CU29" s="454"/>
      <c r="CV29" s="454"/>
      <c r="CW29" s="454"/>
      <c r="CX29" s="454"/>
      <c r="CY29" s="454"/>
    </row>
    <row r="30" spans="1:103" ht="15" customHeight="1" x14ac:dyDescent="0.2">
      <c r="A30" s="1061"/>
      <c r="B30" s="452" t="s">
        <v>151</v>
      </c>
      <c r="C30" s="269">
        <f t="shared" si="2"/>
        <v>0</v>
      </c>
      <c r="D30" s="458"/>
      <c r="E30" s="177">
        <f>'Data Entry'!T64</f>
        <v>0</v>
      </c>
      <c r="F30" s="177">
        <f>'Data Entry'!U64</f>
        <v>0</v>
      </c>
      <c r="G30" s="177">
        <f>'Data Entry'!V64</f>
        <v>0</v>
      </c>
      <c r="H30" s="454"/>
      <c r="I30" s="454"/>
      <c r="J30" s="454"/>
      <c r="K30" s="454"/>
      <c r="L30" s="454"/>
      <c r="M30" s="454"/>
      <c r="N30" s="454"/>
      <c r="O30" s="454"/>
      <c r="P30" s="454"/>
      <c r="Q30" s="454"/>
      <c r="R30" s="454"/>
      <c r="S30" s="454"/>
      <c r="T30" s="454"/>
      <c r="U30" s="454"/>
      <c r="V30" s="454"/>
      <c r="W30" s="454"/>
      <c r="X30" s="454"/>
      <c r="Y30" s="454"/>
      <c r="Z30" s="454"/>
      <c r="AA30" s="454"/>
      <c r="AB30" s="454"/>
      <c r="AC30" s="454"/>
      <c r="AD30" s="454"/>
      <c r="AE30" s="454"/>
      <c r="AF30" s="454"/>
      <c r="AG30" s="454"/>
      <c r="AH30" s="454"/>
      <c r="AI30" s="454"/>
      <c r="AJ30" s="454"/>
      <c r="AK30" s="454"/>
      <c r="AL30" s="454"/>
      <c r="AM30" s="454"/>
      <c r="AN30" s="454"/>
      <c r="AO30" s="455"/>
      <c r="AP30" s="177">
        <f>IF('Data Entry'!$B$12&gt;40,'Data Entry'!T59,0)</f>
        <v>0</v>
      </c>
      <c r="AQ30" s="177">
        <f>IF('Data Entry'!$B$12&gt;40,'Data Entry'!U59,0)</f>
        <v>0</v>
      </c>
      <c r="AR30" s="177">
        <f>IF(AR6&lt;'Data Entry'!$B$12,'Data Entry'!V59,0)</f>
        <v>0</v>
      </c>
      <c r="AS30" s="387"/>
      <c r="AT30" s="454"/>
      <c r="AU30" s="454"/>
      <c r="AV30" s="454"/>
      <c r="AW30" s="454"/>
      <c r="AX30" s="454"/>
      <c r="AY30" s="454"/>
      <c r="AZ30" s="454"/>
      <c r="BA30" s="454"/>
      <c r="BB30" s="454"/>
      <c r="BC30" s="454"/>
      <c r="BD30" s="454"/>
      <c r="BE30" s="454"/>
      <c r="BF30" s="454"/>
      <c r="BG30" s="454"/>
      <c r="BH30" s="454"/>
      <c r="BI30" s="454"/>
      <c r="BJ30" s="454"/>
      <c r="BK30" s="455"/>
      <c r="BL30" s="177">
        <f>IF(BL$6&lt;'Data Entry'!$B$12,'Data Entry'!T61,0)</f>
        <v>0</v>
      </c>
      <c r="BM30" s="177">
        <f>IF(BM$6&lt;'Data Entry'!$B$12,'Data Entry'!U61,0)</f>
        <v>0</v>
      </c>
      <c r="BN30" s="177">
        <f>IF(BN$6&lt;'Data Entry'!$B$12,'Data Entry'!V61,0)</f>
        <v>0</v>
      </c>
      <c r="BO30" s="387"/>
      <c r="BP30" s="454"/>
      <c r="BQ30" s="454"/>
      <c r="BR30" s="454"/>
      <c r="BS30" s="454"/>
      <c r="BT30" s="454"/>
      <c r="BU30" s="454"/>
      <c r="BV30" s="454"/>
      <c r="BW30" s="454"/>
      <c r="BX30" s="454"/>
      <c r="BY30" s="454"/>
      <c r="BZ30" s="454"/>
      <c r="CA30" s="455"/>
      <c r="CB30" s="177">
        <f>IF(CB$6&lt;'Data Entry'!$B$12,'Data Entry'!T59+'Data Entry'!T60,0)</f>
        <v>0</v>
      </c>
      <c r="CC30" s="177">
        <f>IF(CC$6&lt;'Data Entry'!$B$12,'Data Entry'!U59+'Data Entry'!U60,0)</f>
        <v>0</v>
      </c>
      <c r="CD30" s="177">
        <f>IF(CD$6&lt;'Data Entry'!$B$12,'Data Entry'!V59+'Data Entry'!V60,0)</f>
        <v>0</v>
      </c>
      <c r="CE30" s="387"/>
      <c r="CF30" s="454"/>
      <c r="CG30" s="454"/>
      <c r="CH30" s="454"/>
      <c r="CI30" s="454"/>
      <c r="CJ30" s="454"/>
      <c r="CK30" s="454"/>
      <c r="CL30" s="454"/>
      <c r="CM30" s="454"/>
      <c r="CN30" s="454"/>
      <c r="CO30" s="454"/>
      <c r="CP30" s="454"/>
      <c r="CQ30" s="454"/>
      <c r="CR30" s="454"/>
      <c r="CS30" s="454"/>
      <c r="CT30" s="454"/>
      <c r="CU30" s="454"/>
      <c r="CV30" s="454"/>
      <c r="CW30" s="454"/>
      <c r="CX30" s="454"/>
      <c r="CY30" s="454"/>
    </row>
    <row r="31" spans="1:103" ht="15" customHeight="1" x14ac:dyDescent="0.2">
      <c r="A31" s="1061"/>
      <c r="B31" s="452" t="s">
        <v>150</v>
      </c>
      <c r="C31" s="269">
        <f t="shared" si="2"/>
        <v>0</v>
      </c>
      <c r="D31" s="458"/>
      <c r="E31" s="177">
        <f>'Data Entry'!T68</f>
        <v>0</v>
      </c>
      <c r="F31" s="177">
        <f>'Data Entry'!U68</f>
        <v>0</v>
      </c>
      <c r="G31" s="177">
        <f>'Data Entry'!V68</f>
        <v>0</v>
      </c>
      <c r="H31" s="454"/>
      <c r="I31" s="454"/>
      <c r="J31" s="454"/>
      <c r="K31" s="454"/>
      <c r="L31" s="454"/>
      <c r="M31" s="454"/>
      <c r="N31" s="454"/>
      <c r="O31" s="454"/>
      <c r="P31" s="454"/>
      <c r="Q31" s="454"/>
      <c r="R31" s="454"/>
      <c r="S31" s="454"/>
      <c r="T31" s="454"/>
      <c r="U31" s="454"/>
      <c r="V31" s="454"/>
      <c r="W31" s="454"/>
      <c r="X31" s="454"/>
      <c r="Y31" s="454"/>
      <c r="Z31" s="454"/>
      <c r="AA31" s="454"/>
      <c r="AB31" s="454"/>
      <c r="AC31" s="454"/>
      <c r="AD31" s="454"/>
      <c r="AE31" s="454"/>
      <c r="AF31" s="454"/>
      <c r="AG31" s="454"/>
      <c r="AH31" s="454"/>
      <c r="AI31" s="454"/>
      <c r="AJ31" s="454"/>
      <c r="AK31" s="454"/>
      <c r="AL31" s="454"/>
      <c r="AM31" s="454"/>
      <c r="AN31" s="454"/>
      <c r="AO31" s="455"/>
      <c r="AP31" s="454"/>
      <c r="AQ31" s="454"/>
      <c r="AR31" s="454"/>
      <c r="AS31" s="454"/>
      <c r="AT31" s="454"/>
      <c r="AU31" s="454"/>
      <c r="AV31" s="454"/>
      <c r="AW31" s="454"/>
      <c r="AX31" s="454"/>
      <c r="AY31" s="454"/>
      <c r="AZ31" s="454"/>
      <c r="BA31" s="454"/>
      <c r="BB31" s="454"/>
      <c r="BC31" s="454"/>
      <c r="BD31" s="454"/>
      <c r="BE31" s="454"/>
      <c r="BF31" s="454"/>
      <c r="BG31" s="454"/>
      <c r="BH31" s="454"/>
      <c r="BI31" s="454"/>
      <c r="BJ31" s="454"/>
      <c r="BK31" s="455"/>
      <c r="BL31" s="454"/>
      <c r="BM31" s="454"/>
      <c r="BN31" s="454"/>
      <c r="BO31" s="454"/>
      <c r="BP31" s="454"/>
      <c r="BQ31" s="454"/>
      <c r="BR31" s="454"/>
      <c r="BS31" s="454"/>
      <c r="BT31" s="454"/>
      <c r="BU31" s="454"/>
      <c r="BV31" s="454"/>
      <c r="BW31" s="454"/>
      <c r="BX31" s="454"/>
      <c r="BY31" s="454"/>
      <c r="BZ31" s="454"/>
      <c r="CA31" s="455"/>
      <c r="CB31" s="454"/>
      <c r="CC31" s="454"/>
      <c r="CD31" s="454"/>
      <c r="CE31" s="454"/>
      <c r="CF31" s="454"/>
      <c r="CG31" s="454"/>
      <c r="CH31" s="454"/>
      <c r="CI31" s="454"/>
      <c r="CJ31" s="454"/>
      <c r="CK31" s="454"/>
      <c r="CL31" s="454"/>
      <c r="CM31" s="454"/>
      <c r="CN31" s="454"/>
      <c r="CO31" s="454"/>
      <c r="CP31" s="454"/>
      <c r="CQ31" s="454"/>
      <c r="CR31" s="454"/>
      <c r="CS31" s="454"/>
      <c r="CT31" s="454"/>
      <c r="CU31" s="454"/>
      <c r="CV31" s="454"/>
      <c r="CW31" s="454"/>
      <c r="CX31" s="454"/>
      <c r="CY31" s="454"/>
    </row>
    <row r="32" spans="1:103" ht="15" customHeight="1" x14ac:dyDescent="0.2">
      <c r="A32" s="1061"/>
      <c r="B32" s="452" t="s">
        <v>142</v>
      </c>
      <c r="C32" s="269">
        <f t="shared" si="2"/>
        <v>0</v>
      </c>
      <c r="D32" s="145"/>
      <c r="E32" s="454"/>
      <c r="F32" s="454"/>
      <c r="G32" s="454"/>
      <c r="H32" s="454"/>
      <c r="I32" s="454"/>
      <c r="J32" s="454"/>
      <c r="K32" s="454"/>
      <c r="L32" s="454"/>
      <c r="M32" s="177">
        <f>'Data Entry'!$X$64+'Data Entry'!$X$68</f>
        <v>0</v>
      </c>
      <c r="N32" s="387"/>
      <c r="O32" s="454"/>
      <c r="P32" s="454"/>
      <c r="Q32" s="454"/>
      <c r="R32" s="454"/>
      <c r="S32" s="454"/>
      <c r="T32" s="454"/>
      <c r="U32" s="454"/>
      <c r="V32" s="454"/>
      <c r="W32" s="454"/>
      <c r="X32" s="454"/>
      <c r="Y32" s="454"/>
      <c r="Z32" s="454"/>
      <c r="AA32" s="454"/>
      <c r="AB32" s="454"/>
      <c r="AC32" s="454"/>
      <c r="AD32" s="454"/>
      <c r="AE32" s="454"/>
      <c r="AF32" s="454"/>
      <c r="AG32" s="454"/>
      <c r="AH32" s="454"/>
      <c r="AI32" s="454"/>
      <c r="AJ32" s="454"/>
      <c r="AK32" s="454"/>
      <c r="AL32" s="454"/>
      <c r="AM32" s="454"/>
      <c r="AN32" s="454"/>
      <c r="AO32" s="455"/>
      <c r="AP32" s="454"/>
      <c r="AQ32" s="454"/>
      <c r="AR32" s="454"/>
      <c r="AS32" s="454"/>
      <c r="AT32" s="454"/>
      <c r="AU32" s="454"/>
      <c r="AV32" s="454"/>
      <c r="AW32" s="454"/>
      <c r="AX32" s="454"/>
      <c r="AY32" s="177">
        <f>IF(AY6&lt;'Data Entry'!$B$12,'Data Entry'!X59,0)</f>
        <v>0</v>
      </c>
      <c r="AZ32" s="454"/>
      <c r="BA32" s="454"/>
      <c r="BB32" s="454"/>
      <c r="BC32" s="454"/>
      <c r="BD32" s="454"/>
      <c r="BE32" s="454"/>
      <c r="BF32" s="454"/>
      <c r="BG32" s="454"/>
      <c r="BH32" s="454"/>
      <c r="BI32" s="454"/>
      <c r="BJ32" s="454"/>
      <c r="BK32" s="455"/>
      <c r="BL32" s="454"/>
      <c r="BM32" s="454"/>
      <c r="BN32" s="454"/>
      <c r="BO32" s="454"/>
      <c r="BP32" s="454"/>
      <c r="BQ32" s="454"/>
      <c r="BR32" s="454"/>
      <c r="BS32" s="454"/>
      <c r="BT32" s="454"/>
      <c r="BU32" s="177">
        <f>IF(BU6&lt;'Data Entry'!$B$12,'Data Entry'!X61,0)</f>
        <v>0</v>
      </c>
      <c r="BV32" s="454"/>
      <c r="BW32" s="454"/>
      <c r="BX32" s="454"/>
      <c r="BY32" s="454"/>
      <c r="BZ32" s="454"/>
      <c r="CA32" s="455"/>
      <c r="CB32" s="454"/>
      <c r="CC32" s="454"/>
      <c r="CD32" s="454"/>
      <c r="CE32" s="454"/>
      <c r="CF32" s="454"/>
      <c r="CG32" s="454"/>
      <c r="CH32" s="454"/>
      <c r="CI32" s="454"/>
      <c r="CJ32" s="454"/>
      <c r="CK32" s="177">
        <f>IF(CK6&lt;'Data Entry'!$B$12,'Data Entry'!X59+'Data Entry'!X60,0)</f>
        <v>0</v>
      </c>
      <c r="CL32" s="454"/>
      <c r="CM32" s="454"/>
      <c r="CN32" s="454"/>
      <c r="CO32" s="454"/>
      <c r="CP32" s="454"/>
      <c r="CQ32" s="454"/>
      <c r="CR32" s="454"/>
      <c r="CS32" s="454"/>
      <c r="CT32" s="454"/>
      <c r="CU32" s="454"/>
      <c r="CV32" s="454"/>
      <c r="CW32" s="454"/>
      <c r="CX32" s="454"/>
      <c r="CY32" s="454"/>
    </row>
    <row r="33" spans="1:103" ht="15" customHeight="1" x14ac:dyDescent="0.2">
      <c r="A33" s="1062"/>
      <c r="B33" s="461" t="s">
        <v>526</v>
      </c>
      <c r="C33" s="269">
        <f t="shared" si="2"/>
        <v>0</v>
      </c>
      <c r="D33" s="462">
        <f>IF(SUM(D22:D31,D55,D56)&gt;0,'Cost Data'!$C$46,0)</f>
        <v>0</v>
      </c>
      <c r="E33" s="463">
        <f>IF(SUM(E22:E31,E55,E56)&gt;0,'Cost Data'!$C$46,0)</f>
        <v>0</v>
      </c>
      <c r="F33" s="463">
        <f>IF(SUM(F22:F31,F55,F56)&gt;0,'Cost Data'!$C$46,0)</f>
        <v>0</v>
      </c>
      <c r="G33" s="463">
        <f>IF(SUM(G22:G31,G55,G56)&gt;0,'Cost Data'!$C$46,0)</f>
        <v>0</v>
      </c>
      <c r="H33" s="463">
        <f>IF(SUM(H22:H31,H55,H56)&gt;0,'Cost Data'!$C$46,0)</f>
        <v>0</v>
      </c>
      <c r="I33" s="463">
        <f>IF(SUM(I22:I31,I55,I56)&gt;0,'Cost Data'!$C$46,0)</f>
        <v>0</v>
      </c>
      <c r="J33" s="463">
        <f>IF(SUM(J22:J31,J55,J56)&gt;0,'Cost Data'!$C$46,0)</f>
        <v>0</v>
      </c>
      <c r="K33" s="463">
        <f>IF(SUM(K22:K31,K55,K56)&gt;0,'Cost Data'!$C$46,0)</f>
        <v>0</v>
      </c>
      <c r="L33" s="463">
        <f>IF(SUM(L22:L31,L55,L56)&gt;0,'Cost Data'!$C$46,0)</f>
        <v>0</v>
      </c>
      <c r="M33" s="463">
        <f>IF(SUM(M22:M31,M55,M56)&gt;0,'Cost Data'!$C$46,0)</f>
        <v>0</v>
      </c>
      <c r="N33" s="463">
        <f>IF(SUM(N22:N31,N55,N56)&gt;0,'Cost Data'!$C$46,0)</f>
        <v>0</v>
      </c>
      <c r="O33" s="463">
        <f>IF(SUM(O22:O31,O55,O56)&gt;0,'Cost Data'!$C$46,0)</f>
        <v>0</v>
      </c>
      <c r="P33" s="463">
        <f>IF(SUM(P22:P31,P55,P56)&gt;0,'Cost Data'!$C$46,0)</f>
        <v>0</v>
      </c>
      <c r="Q33" s="463">
        <f>IF(SUM(Q22:Q31,Q55,Q56)&gt;0,'Cost Data'!$C$46,0)</f>
        <v>0</v>
      </c>
      <c r="R33" s="463">
        <f>IF(SUM(R22:R31,R55,R56)&gt;0,'Cost Data'!$C$46,0)</f>
        <v>0</v>
      </c>
      <c r="S33" s="463">
        <f>IF(SUM(S22:S31,S55,S56)&gt;0,'Cost Data'!$C$46,0)</f>
        <v>0</v>
      </c>
      <c r="T33" s="463">
        <f>IF(SUM(T22:T31,T55,T56)&gt;0,'Cost Data'!$C$46,0)</f>
        <v>0</v>
      </c>
      <c r="U33" s="463">
        <f>IF(SUM(U22:U31,U55,U56)&gt;0,'Cost Data'!$C$46,0)</f>
        <v>0</v>
      </c>
      <c r="V33" s="463">
        <f>IF(SUM(V22:V31,V55,V56)&gt;0,'Cost Data'!$C$46,0)</f>
        <v>0</v>
      </c>
      <c r="W33" s="463">
        <f>IF(SUM(W22:W31,W55,W56)&gt;0,'Cost Data'!$C$46,0)</f>
        <v>0</v>
      </c>
      <c r="X33" s="463">
        <f>IF(SUM(X22:X31,X55,X56)&gt;0,'Cost Data'!$C$46,0)</f>
        <v>0</v>
      </c>
      <c r="Y33" s="463">
        <f>IF(SUM(Y22:Y31,Y55,Y56)&gt;0,'Cost Data'!$C$46,0)</f>
        <v>0</v>
      </c>
      <c r="Z33" s="463">
        <f>IF(SUM(Z22:Z31,Z55,Z56)&gt;0,'Cost Data'!$C$46,0)</f>
        <v>0</v>
      </c>
      <c r="AA33" s="463">
        <f>IF(SUM(AA22:AA31,AA55,AA56)&gt;0,'Cost Data'!$C$46,0)</f>
        <v>0</v>
      </c>
      <c r="AB33" s="463">
        <f>IF(SUM(AB22:AB31,AB55,AB56)&gt;0,'Cost Data'!$C$46,0)</f>
        <v>0</v>
      </c>
      <c r="AC33" s="463">
        <f>IF(SUM(AC22:AC31,AC55,AC56)&gt;0,'Cost Data'!$C$46,0)</f>
        <v>0</v>
      </c>
      <c r="AD33" s="463">
        <f>IF(SUM(AD22:AD31,AD55,AD56)&gt;0,'Cost Data'!$C$46,0)</f>
        <v>0</v>
      </c>
      <c r="AE33" s="463">
        <f>IF(SUM(AE22:AE31,AE55,AE56)&gt;0,'Cost Data'!$C$46,0)</f>
        <v>0</v>
      </c>
      <c r="AF33" s="463">
        <f>IF(SUM(AF22:AF31,AF55,AF56)&gt;0,'Cost Data'!$C$46,0)</f>
        <v>0</v>
      </c>
      <c r="AG33" s="463">
        <f>IF(SUM(AG22:AG31,AG55,AG56)&gt;0,'Cost Data'!$C$46,0)</f>
        <v>0</v>
      </c>
      <c r="AH33" s="463">
        <f>IF(SUM(AH22:AH31,AH55,AH56)&gt;0,'Cost Data'!$C$46,0)</f>
        <v>0</v>
      </c>
      <c r="AI33" s="463">
        <f>IF(SUM(AI22:AI31,AI55,AI56)&gt;0,'Cost Data'!$C$46,0)</f>
        <v>0</v>
      </c>
      <c r="AJ33" s="463">
        <f>IF(SUM(AJ22:AJ31,AJ55,AJ56)&gt;0,'Cost Data'!$C$46,0)</f>
        <v>0</v>
      </c>
      <c r="AK33" s="463">
        <f>IF(SUM(AK22:AK31,AK55,AK56)&gt;0,'Cost Data'!$C$46,0)</f>
        <v>0</v>
      </c>
      <c r="AL33" s="463">
        <f>IF(SUM(AL22:AL31,AL55,AL56)&gt;0,'Cost Data'!$C$46,0)</f>
        <v>0</v>
      </c>
      <c r="AM33" s="463">
        <f>IF(SUM(AM22:AM31,AM55,AM56)&gt;0,'Cost Data'!$C$46,0)</f>
        <v>0</v>
      </c>
      <c r="AN33" s="463">
        <f>IF(SUM(AN22:AN31,AN55,AN56)&gt;0,'Cost Data'!$C$46,0)</f>
        <v>0</v>
      </c>
      <c r="AO33" s="464">
        <f>IF(SUM(AO22:AO31,AO55,AO56)&gt;0,'Cost Data'!$C$46,0)</f>
        <v>0</v>
      </c>
      <c r="AP33" s="463">
        <f>IF(SUM(AP22:AP31,AP55,AP56)&gt;0,'Cost Data'!$C$46,0)</f>
        <v>0</v>
      </c>
      <c r="AQ33" s="463">
        <f>IF(SUM(AQ22:AQ31,AQ55,AQ56)&gt;0,'Cost Data'!$C$46,0)</f>
        <v>0</v>
      </c>
      <c r="AR33" s="463">
        <f>IF(SUM(AR22:AR31,AR55,AR56)&gt;0,'Cost Data'!$C$46,0)</f>
        <v>0</v>
      </c>
      <c r="AS33" s="463">
        <f>IF(SUM(AS22:AS31,AS55,AS56)&gt;0,'Cost Data'!$C$46,0)</f>
        <v>0</v>
      </c>
      <c r="AT33" s="463">
        <f>IF(SUM(AT22:AT31,AT55,AT56)&gt;0,'Cost Data'!$C$46,0)</f>
        <v>0</v>
      </c>
      <c r="AU33" s="463">
        <f>IF(SUM(AU22:AU31,AU55,AU56)&gt;0,'Cost Data'!$C$46,0)</f>
        <v>0</v>
      </c>
      <c r="AV33" s="463">
        <f>IF(SUM(AV22:AV31,AV55,AV56)&gt;0,'Cost Data'!$C$46,0)</f>
        <v>0</v>
      </c>
      <c r="AW33" s="463">
        <f>IF(SUM(AW22:AW31,AW55,AW56)&gt;0,'Cost Data'!$C$46,0)</f>
        <v>0</v>
      </c>
      <c r="AX33" s="463">
        <f>IF(SUM(AX22:AX31,AX55,AX56)&gt;0,'Cost Data'!$C$46,0)</f>
        <v>0</v>
      </c>
      <c r="AY33" s="463">
        <f>IF(SUM(AY22:AY31,AY55,AY56)&gt;0,'Cost Data'!$C$46,0)</f>
        <v>0</v>
      </c>
      <c r="AZ33" s="463">
        <f>IF(SUM(AZ22:AZ31,AZ55,AZ56)&gt;0,'Cost Data'!$C$46,0)</f>
        <v>0</v>
      </c>
      <c r="BA33" s="463">
        <f>IF(SUM(BA22:BA31,BA55,BA56)&gt;0,'Cost Data'!$C$46,0)</f>
        <v>0</v>
      </c>
      <c r="BB33" s="463">
        <f>IF(SUM(BB22:BB31,BB55,BB56)&gt;0,'Cost Data'!$C$46,0)</f>
        <v>0</v>
      </c>
      <c r="BC33" s="463">
        <f>IF(SUM(BC22:BC31,BC55,BC56)&gt;0,'Cost Data'!$C$46,0)</f>
        <v>0</v>
      </c>
      <c r="BD33" s="463">
        <f>IF(SUM(BD22:BD31,BD55,BD56)&gt;0,'Cost Data'!$C$46,0)</f>
        <v>0</v>
      </c>
      <c r="BE33" s="463">
        <f>IF(SUM(BE22:BE31,BE55,BE56)&gt;0,'Cost Data'!$C$46,0)</f>
        <v>0</v>
      </c>
      <c r="BF33" s="463">
        <f>IF(SUM(BF22:BF31,BF55,BF56)&gt;0,'Cost Data'!$C$46,0)</f>
        <v>0</v>
      </c>
      <c r="BG33" s="463">
        <f>IF(SUM(BG22:BG31,BG55,BG56)&gt;0,'Cost Data'!$C$46,0)</f>
        <v>0</v>
      </c>
      <c r="BH33" s="463">
        <f>IF(SUM(BH22:BH31,BH55,BH56)&gt;0,'Cost Data'!$C$46,0)</f>
        <v>0</v>
      </c>
      <c r="BI33" s="463">
        <f>IF(SUM(BI22:BI31,BI55,BI56)&gt;0,'Cost Data'!$C$46,0)</f>
        <v>0</v>
      </c>
      <c r="BJ33" s="463">
        <f>IF(SUM(BJ22:BJ31,BJ55,BJ56)&gt;0,'Cost Data'!$C$46,0)</f>
        <v>0</v>
      </c>
      <c r="BK33" s="464">
        <f>IF(SUM(BK22:BK31,BK55,BK56)&gt;0,'Cost Data'!$C$46,0)</f>
        <v>0</v>
      </c>
      <c r="BL33" s="463">
        <f>IF(SUM(BL22:BL31,BL55,BL56)&gt;0,'Cost Data'!$C$46,0)</f>
        <v>0</v>
      </c>
      <c r="BM33" s="463">
        <f>IF(SUM(BM22:BM31,BM55,BM56)&gt;0,'Cost Data'!$C$46,0)</f>
        <v>0</v>
      </c>
      <c r="BN33" s="463">
        <f>IF(SUM(BN22:BN31,BN55,BN56)&gt;0,'Cost Data'!$C$46,0)</f>
        <v>0</v>
      </c>
      <c r="BO33" s="463">
        <f>IF(SUM(BO22:BO31,BO55,BO56)&gt;0,'Cost Data'!$C$46,0)</f>
        <v>0</v>
      </c>
      <c r="BP33" s="463">
        <f>IF(SUM(BP22:BP31,BP55,BP56)&gt;0,'Cost Data'!$C$46,0)</f>
        <v>0</v>
      </c>
      <c r="BQ33" s="463">
        <f>IF(SUM(BQ22:BQ31,BQ55,BQ56)&gt;0,'Cost Data'!$C$46,0)</f>
        <v>0</v>
      </c>
      <c r="BR33" s="463">
        <f>IF(SUM(BR22:BR31,BR55,BR56)&gt;0,'Cost Data'!$C$46,0)</f>
        <v>0</v>
      </c>
      <c r="BS33" s="463">
        <f>IF(SUM(BS22:BS31,BS55,BS56)&gt;0,'Cost Data'!$C$46,0)</f>
        <v>0</v>
      </c>
      <c r="BT33" s="463">
        <f>IF(SUM(BT22:BT31,BT55,BT56)&gt;0,'Cost Data'!$C$46,0)</f>
        <v>0</v>
      </c>
      <c r="BU33" s="463">
        <f>IF(SUM(BU22:BU31,BU55,BU56)&gt;0,'Cost Data'!$C$46,0)</f>
        <v>0</v>
      </c>
      <c r="BV33" s="463">
        <f>IF(SUM(BV22:BV31,BV55,BV56)&gt;0,'Cost Data'!$C$46,0)</f>
        <v>0</v>
      </c>
      <c r="BW33" s="463">
        <f>IF(SUM(BW22:BW31,BW55,BW56)&gt;0,'Cost Data'!$C$46,0)</f>
        <v>0</v>
      </c>
      <c r="BX33" s="463">
        <f>IF(SUM(BX22:BX31,BX55,BX56)&gt;0,'Cost Data'!$C$46,0)</f>
        <v>0</v>
      </c>
      <c r="BY33" s="463">
        <f>IF(SUM(BY22:BY31,BY55,BY56)&gt;0,'Cost Data'!$C$46,0)</f>
        <v>0</v>
      </c>
      <c r="BZ33" s="463">
        <f>IF(SUM(BZ22:BZ31,BZ55,BZ56)&gt;0,'Cost Data'!$C$46,0)</f>
        <v>0</v>
      </c>
      <c r="CA33" s="464">
        <f>IF(SUM(CA22:CA31,CA55,CA56)&gt;0,'Cost Data'!$C$46,0)</f>
        <v>0</v>
      </c>
      <c r="CB33" s="463">
        <f>IF(SUM(CB22:CB31,CB55,CB56)&gt;0,'Cost Data'!$C$46,0)</f>
        <v>0</v>
      </c>
      <c r="CC33" s="463">
        <f>IF(SUM(CC22:CC31,CC55,CC56)&gt;0,'Cost Data'!$C$46,0)</f>
        <v>0</v>
      </c>
      <c r="CD33" s="463">
        <f>IF(SUM(CD22:CD31,CD55,CD56)&gt;0,'Cost Data'!$C$46,0)</f>
        <v>0</v>
      </c>
      <c r="CE33" s="463">
        <f>IF(SUM(CE22:CE31,CE55,CE56)&gt;0,'Cost Data'!$C$46,0)</f>
        <v>0</v>
      </c>
      <c r="CF33" s="463">
        <f>IF(SUM(CF22:CF31,CF55,CF56)&gt;0,'Cost Data'!$C$46,0)</f>
        <v>0</v>
      </c>
      <c r="CG33" s="463">
        <f>IF(SUM(CG22:CG31,CG55,CG56)&gt;0,'Cost Data'!$C$46,0)</f>
        <v>0</v>
      </c>
      <c r="CH33" s="463">
        <f>IF(SUM(CH22:CH31,CH55,CH56)&gt;0,'Cost Data'!$C$46,0)</f>
        <v>0</v>
      </c>
      <c r="CI33" s="463">
        <f>IF(SUM(CI22:CI31,CI55,CI56)&gt;0,'Cost Data'!$C$46,0)</f>
        <v>0</v>
      </c>
      <c r="CJ33" s="463">
        <f>IF(SUM(CJ22:CJ31,CJ55,CJ56)&gt;0,'Cost Data'!$C$46,0)</f>
        <v>0</v>
      </c>
      <c r="CK33" s="463">
        <f>IF(SUM(CK22:CK31,CK55,CK56)&gt;0,'Cost Data'!$C$46,0)</f>
        <v>0</v>
      </c>
      <c r="CL33" s="463">
        <f>IF(SUM(CL22:CL31,CL55,CL56)&gt;0,'Cost Data'!$C$46,0)</f>
        <v>0</v>
      </c>
      <c r="CM33" s="463">
        <f>IF(SUM(CM22:CM31,CM55,CM56)&gt;0,'Cost Data'!$C$46,0)</f>
        <v>0</v>
      </c>
      <c r="CN33" s="463">
        <f>IF(SUM(CN22:CN31,CN55,CN56)&gt;0,'Cost Data'!$C$46,0)</f>
        <v>0</v>
      </c>
      <c r="CO33" s="463">
        <f>IF(SUM(CO22:CO31,CO55,CO56)&gt;0,'Cost Data'!$C$46,0)</f>
        <v>0</v>
      </c>
      <c r="CP33" s="463">
        <f>IF(SUM(CP22:CP31,CP55,CP56)&gt;0,'Cost Data'!$C$46,0)</f>
        <v>0</v>
      </c>
      <c r="CQ33" s="463">
        <f>IF(SUM(CQ22:CQ31,CQ55,CQ56)&gt;0,'Cost Data'!$C$46,0)</f>
        <v>0</v>
      </c>
      <c r="CR33" s="463">
        <f>IF(SUM(CR22:CR31,CR55,CR56)&gt;0,'Cost Data'!$C$46,0)</f>
        <v>0</v>
      </c>
      <c r="CS33" s="463">
        <f>IF(SUM(CS22:CS31,CS55,CS56)&gt;0,'Cost Data'!$C$46,0)</f>
        <v>0</v>
      </c>
      <c r="CT33" s="463">
        <f>IF(SUM(CT22:CT31,CT55,CT56)&gt;0,'Cost Data'!$C$46,0)</f>
        <v>0</v>
      </c>
      <c r="CU33" s="463">
        <f>IF(SUM(CU22:CU31,CU55,CU56)&gt;0,'Cost Data'!$C$46,0)</f>
        <v>0</v>
      </c>
      <c r="CV33" s="463">
        <f>IF(SUM(CV22:CV31,CV55,CV56)&gt;0,'Cost Data'!$C$46,0)</f>
        <v>0</v>
      </c>
      <c r="CW33" s="463">
        <f>IF(SUM(CW22:CW31,CW55,CW56)&gt;0,'Cost Data'!$C$46,0)</f>
        <v>0</v>
      </c>
      <c r="CX33" s="463">
        <f>IF(SUM(CX22:CX31,CX55,CX56)&gt;0,'Cost Data'!$C$46,0)</f>
        <v>0</v>
      </c>
      <c r="CY33" s="463">
        <f>IF(SUM(CY22:CY31,CY55,CY56)&gt;0,'Cost Data'!$C$46,0)</f>
        <v>0</v>
      </c>
    </row>
    <row r="34" spans="1:103" s="465" customFormat="1" ht="15" customHeight="1" x14ac:dyDescent="0.2">
      <c r="A34" s="417" t="s">
        <v>4</v>
      </c>
      <c r="B34" s="417"/>
      <c r="C34" s="290">
        <f>SUM(C8:C33)</f>
        <v>0</v>
      </c>
      <c r="D34" s="417">
        <f>SUM(D8:D33)</f>
        <v>0</v>
      </c>
      <c r="E34" s="417">
        <f t="shared" ref="E34:BP34" si="3">SUM(E8:E33)</f>
        <v>0</v>
      </c>
      <c r="F34" s="417">
        <f t="shared" si="3"/>
        <v>0</v>
      </c>
      <c r="G34" s="417">
        <f t="shared" si="3"/>
        <v>0</v>
      </c>
      <c r="H34" s="417">
        <f t="shared" si="3"/>
        <v>0</v>
      </c>
      <c r="I34" s="417">
        <f t="shared" si="3"/>
        <v>0</v>
      </c>
      <c r="J34" s="417">
        <f t="shared" si="3"/>
        <v>0</v>
      </c>
      <c r="K34" s="417">
        <f t="shared" si="3"/>
        <v>0</v>
      </c>
      <c r="L34" s="417">
        <f t="shared" si="3"/>
        <v>0</v>
      </c>
      <c r="M34" s="417">
        <f t="shared" si="3"/>
        <v>0</v>
      </c>
      <c r="N34" s="417">
        <f t="shared" si="3"/>
        <v>0</v>
      </c>
      <c r="O34" s="417">
        <f t="shared" si="3"/>
        <v>0</v>
      </c>
      <c r="P34" s="417">
        <f t="shared" si="3"/>
        <v>0</v>
      </c>
      <c r="Q34" s="417">
        <f t="shared" si="3"/>
        <v>0</v>
      </c>
      <c r="R34" s="417">
        <f t="shared" si="3"/>
        <v>0</v>
      </c>
      <c r="S34" s="417">
        <f t="shared" si="3"/>
        <v>0</v>
      </c>
      <c r="T34" s="417">
        <f t="shared" si="3"/>
        <v>0</v>
      </c>
      <c r="U34" s="417">
        <f t="shared" si="3"/>
        <v>0</v>
      </c>
      <c r="V34" s="417">
        <f t="shared" si="3"/>
        <v>0</v>
      </c>
      <c r="W34" s="417">
        <f t="shared" si="3"/>
        <v>0</v>
      </c>
      <c r="X34" s="417">
        <f t="shared" si="3"/>
        <v>0</v>
      </c>
      <c r="Y34" s="417">
        <f t="shared" si="3"/>
        <v>0</v>
      </c>
      <c r="Z34" s="417">
        <f t="shared" si="3"/>
        <v>0</v>
      </c>
      <c r="AA34" s="417">
        <f t="shared" si="3"/>
        <v>0</v>
      </c>
      <c r="AB34" s="417">
        <f t="shared" si="3"/>
        <v>0</v>
      </c>
      <c r="AC34" s="417">
        <f t="shared" si="3"/>
        <v>0</v>
      </c>
      <c r="AD34" s="417">
        <f t="shared" si="3"/>
        <v>0</v>
      </c>
      <c r="AE34" s="417">
        <f t="shared" si="3"/>
        <v>0</v>
      </c>
      <c r="AF34" s="417">
        <f t="shared" si="3"/>
        <v>0</v>
      </c>
      <c r="AG34" s="417">
        <f t="shared" si="3"/>
        <v>0</v>
      </c>
      <c r="AH34" s="417">
        <f t="shared" si="3"/>
        <v>0</v>
      </c>
      <c r="AI34" s="417">
        <f t="shared" si="3"/>
        <v>0</v>
      </c>
      <c r="AJ34" s="417">
        <f t="shared" si="3"/>
        <v>0</v>
      </c>
      <c r="AK34" s="417">
        <f t="shared" si="3"/>
        <v>0</v>
      </c>
      <c r="AL34" s="417">
        <f t="shared" si="3"/>
        <v>0</v>
      </c>
      <c r="AM34" s="417">
        <f t="shared" si="3"/>
        <v>0</v>
      </c>
      <c r="AN34" s="417">
        <f t="shared" si="3"/>
        <v>0</v>
      </c>
      <c r="AO34" s="420">
        <f t="shared" si="3"/>
        <v>0</v>
      </c>
      <c r="AP34" s="417">
        <f t="shared" si="3"/>
        <v>0</v>
      </c>
      <c r="AQ34" s="417">
        <f t="shared" si="3"/>
        <v>0</v>
      </c>
      <c r="AR34" s="417">
        <f t="shared" si="3"/>
        <v>0</v>
      </c>
      <c r="AS34" s="417">
        <f t="shared" si="3"/>
        <v>0</v>
      </c>
      <c r="AT34" s="417">
        <f t="shared" si="3"/>
        <v>0</v>
      </c>
      <c r="AU34" s="417">
        <f t="shared" si="3"/>
        <v>0</v>
      </c>
      <c r="AV34" s="417">
        <f t="shared" si="3"/>
        <v>0</v>
      </c>
      <c r="AW34" s="417">
        <f t="shared" si="3"/>
        <v>0</v>
      </c>
      <c r="AX34" s="417">
        <f t="shared" si="3"/>
        <v>0</v>
      </c>
      <c r="AY34" s="417">
        <f t="shared" si="3"/>
        <v>0</v>
      </c>
      <c r="AZ34" s="417">
        <f t="shared" si="3"/>
        <v>0</v>
      </c>
      <c r="BA34" s="417">
        <f t="shared" si="3"/>
        <v>0</v>
      </c>
      <c r="BB34" s="417">
        <f t="shared" si="3"/>
        <v>0</v>
      </c>
      <c r="BC34" s="417">
        <f t="shared" si="3"/>
        <v>0</v>
      </c>
      <c r="BD34" s="417">
        <f t="shared" si="3"/>
        <v>0</v>
      </c>
      <c r="BE34" s="417">
        <f t="shared" si="3"/>
        <v>0</v>
      </c>
      <c r="BF34" s="417">
        <f t="shared" si="3"/>
        <v>0</v>
      </c>
      <c r="BG34" s="417">
        <f t="shared" si="3"/>
        <v>0</v>
      </c>
      <c r="BH34" s="417">
        <f t="shared" si="3"/>
        <v>0</v>
      </c>
      <c r="BI34" s="417">
        <f t="shared" si="3"/>
        <v>0</v>
      </c>
      <c r="BJ34" s="417">
        <f t="shared" si="3"/>
        <v>0</v>
      </c>
      <c r="BK34" s="420">
        <f t="shared" si="3"/>
        <v>0</v>
      </c>
      <c r="BL34" s="417">
        <f t="shared" si="3"/>
        <v>0</v>
      </c>
      <c r="BM34" s="417">
        <f t="shared" si="3"/>
        <v>0</v>
      </c>
      <c r="BN34" s="417">
        <f t="shared" si="3"/>
        <v>0</v>
      </c>
      <c r="BO34" s="417">
        <f t="shared" si="3"/>
        <v>0</v>
      </c>
      <c r="BP34" s="417">
        <f t="shared" si="3"/>
        <v>0</v>
      </c>
      <c r="BQ34" s="417">
        <f t="shared" ref="BQ34:CY34" si="4">SUM(BQ8:BQ33)</f>
        <v>0</v>
      </c>
      <c r="BR34" s="417">
        <f t="shared" si="4"/>
        <v>0</v>
      </c>
      <c r="BS34" s="417">
        <f t="shared" si="4"/>
        <v>0</v>
      </c>
      <c r="BT34" s="417">
        <f t="shared" si="4"/>
        <v>0</v>
      </c>
      <c r="BU34" s="417">
        <f t="shared" si="4"/>
        <v>0</v>
      </c>
      <c r="BV34" s="417">
        <f t="shared" si="4"/>
        <v>0</v>
      </c>
      <c r="BW34" s="417">
        <f t="shared" si="4"/>
        <v>0</v>
      </c>
      <c r="BX34" s="417">
        <f t="shared" si="4"/>
        <v>0</v>
      </c>
      <c r="BY34" s="417">
        <f t="shared" si="4"/>
        <v>0</v>
      </c>
      <c r="BZ34" s="417">
        <f t="shared" si="4"/>
        <v>0</v>
      </c>
      <c r="CA34" s="420">
        <f t="shared" si="4"/>
        <v>0</v>
      </c>
      <c r="CB34" s="417">
        <f t="shared" si="4"/>
        <v>0</v>
      </c>
      <c r="CC34" s="417">
        <f t="shared" si="4"/>
        <v>0</v>
      </c>
      <c r="CD34" s="417">
        <f t="shared" si="4"/>
        <v>0</v>
      </c>
      <c r="CE34" s="417">
        <f t="shared" si="4"/>
        <v>0</v>
      </c>
      <c r="CF34" s="417">
        <f t="shared" si="4"/>
        <v>0</v>
      </c>
      <c r="CG34" s="417">
        <f t="shared" si="4"/>
        <v>0</v>
      </c>
      <c r="CH34" s="417">
        <f t="shared" si="4"/>
        <v>0</v>
      </c>
      <c r="CI34" s="417">
        <f t="shared" si="4"/>
        <v>0</v>
      </c>
      <c r="CJ34" s="417">
        <f t="shared" si="4"/>
        <v>0</v>
      </c>
      <c r="CK34" s="417">
        <f t="shared" si="4"/>
        <v>0</v>
      </c>
      <c r="CL34" s="417">
        <f t="shared" si="4"/>
        <v>0</v>
      </c>
      <c r="CM34" s="417">
        <f t="shared" si="4"/>
        <v>0</v>
      </c>
      <c r="CN34" s="417">
        <f t="shared" si="4"/>
        <v>0</v>
      </c>
      <c r="CO34" s="417">
        <f t="shared" si="4"/>
        <v>0</v>
      </c>
      <c r="CP34" s="417">
        <f t="shared" si="4"/>
        <v>0</v>
      </c>
      <c r="CQ34" s="417">
        <f t="shared" si="4"/>
        <v>0</v>
      </c>
      <c r="CR34" s="417">
        <f t="shared" si="4"/>
        <v>0</v>
      </c>
      <c r="CS34" s="417">
        <f t="shared" si="4"/>
        <v>0</v>
      </c>
      <c r="CT34" s="417">
        <f t="shared" si="4"/>
        <v>0</v>
      </c>
      <c r="CU34" s="417">
        <f t="shared" si="4"/>
        <v>0</v>
      </c>
      <c r="CV34" s="417">
        <f t="shared" si="4"/>
        <v>0</v>
      </c>
      <c r="CW34" s="417">
        <f t="shared" si="4"/>
        <v>0</v>
      </c>
      <c r="CX34" s="417">
        <f t="shared" si="4"/>
        <v>0</v>
      </c>
      <c r="CY34" s="417">
        <f t="shared" si="4"/>
        <v>0</v>
      </c>
    </row>
    <row r="35" spans="1:103" ht="15" customHeight="1" x14ac:dyDescent="0.2">
      <c r="A35" s="1063" t="s">
        <v>159</v>
      </c>
      <c r="B35" s="450" t="s">
        <v>527</v>
      </c>
      <c r="C35" s="269">
        <f>SUM(D35:CY35)</f>
        <v>0</v>
      </c>
      <c r="D35" s="459"/>
      <c r="E35" s="466">
        <f>IF(E$6&lt;'Data Entry'!$B$12,'Data Entry'!$G$73,0)</f>
        <v>0</v>
      </c>
      <c r="F35" s="466">
        <f>IF(F$6&lt;'Data Entry'!$B$12,'Data Entry'!$G$73,0)</f>
        <v>0</v>
      </c>
      <c r="G35" s="466">
        <f>IF(G$6&lt;'Data Entry'!$B$12,'Data Entry'!$G$73,0)</f>
        <v>0</v>
      </c>
      <c r="H35" s="466">
        <f>IF(H$6&lt;'Data Entry'!$B$12,'Data Entry'!$G$73,0)</f>
        <v>0</v>
      </c>
      <c r="I35" s="466">
        <f>IF(I$6&lt;'Data Entry'!$B$12,'Data Entry'!$G$73,0)</f>
        <v>0</v>
      </c>
      <c r="J35" s="466">
        <f>IF(J$6&lt;'Data Entry'!$B$12,'Data Entry'!$G$73,0)</f>
        <v>0</v>
      </c>
      <c r="K35" s="466">
        <f>IF(K$6&lt;'Data Entry'!$B$12,'Data Entry'!$G$73,0)</f>
        <v>0</v>
      </c>
      <c r="L35" s="466">
        <f>IF(L$6&lt;'Data Entry'!$B$12,'Data Entry'!$G$73,0)</f>
        <v>0</v>
      </c>
      <c r="M35" s="466">
        <f>IF(M$6&lt;'Data Entry'!$B$12,'Data Entry'!$G$73,0)</f>
        <v>0</v>
      </c>
      <c r="N35" s="466">
        <f>IF(N$6&lt;'Data Entry'!$B$12,'Data Entry'!$G$73,0)</f>
        <v>0</v>
      </c>
      <c r="O35" s="466">
        <f>IF(O$6&lt;'Data Entry'!$B$12,'Data Entry'!$G$73,0)</f>
        <v>0</v>
      </c>
      <c r="P35" s="466">
        <f>IF(P$6&lt;'Data Entry'!$B$12,'Data Entry'!$G$73,0)</f>
        <v>0</v>
      </c>
      <c r="Q35" s="466">
        <f>IF(Q$6&lt;'Data Entry'!$B$12,'Data Entry'!$G$73,0)</f>
        <v>0</v>
      </c>
      <c r="R35" s="466">
        <f>IF(R$6&lt;'Data Entry'!$B$12,'Data Entry'!$G$73,0)</f>
        <v>0</v>
      </c>
      <c r="S35" s="466">
        <f>IF(S$6&lt;'Data Entry'!$B$12,'Data Entry'!$G$73,0)</f>
        <v>0</v>
      </c>
      <c r="T35" s="466">
        <f>IF(T$6&lt;'Data Entry'!$B$12,'Data Entry'!$G$73,0)</f>
        <v>0</v>
      </c>
      <c r="U35" s="466">
        <f>IF(U$6&lt;'Data Entry'!$B$12,'Data Entry'!$G$73,0)</f>
        <v>0</v>
      </c>
      <c r="V35" s="466">
        <f>IF(V$6&lt;'Data Entry'!$B$12,'Data Entry'!$G$73,0)</f>
        <v>0</v>
      </c>
      <c r="W35" s="466">
        <f>IF(W$6&lt;'Data Entry'!$B$12,'Data Entry'!$G$73,0)</f>
        <v>0</v>
      </c>
      <c r="X35" s="466">
        <f>IF(X$6&lt;'Data Entry'!$B$12,'Data Entry'!$G$73,0)</f>
        <v>0</v>
      </c>
      <c r="Y35" s="466">
        <f>IF(Y$6&lt;'Data Entry'!$B$12,'Data Entry'!$G$73,0)</f>
        <v>0</v>
      </c>
      <c r="Z35" s="466">
        <f>IF(Z$6&lt;'Data Entry'!$B$12,'Data Entry'!$G$73,0)</f>
        <v>0</v>
      </c>
      <c r="AA35" s="466">
        <f>IF(AA$6&lt;'Data Entry'!$B$12,'Data Entry'!$G$73,0)</f>
        <v>0</v>
      </c>
      <c r="AB35" s="466">
        <f>IF(AB$6&lt;'Data Entry'!$B$12,'Data Entry'!$G$73,0)</f>
        <v>0</v>
      </c>
      <c r="AC35" s="466">
        <f>IF(AC$6&lt;'Data Entry'!$B$12,'Data Entry'!$G$73,0)</f>
        <v>0</v>
      </c>
      <c r="AD35" s="466">
        <f>IF(AD$6&lt;'Data Entry'!$B$12,'Data Entry'!$G$73,0)</f>
        <v>0</v>
      </c>
      <c r="AE35" s="466">
        <f>IF(AE$6&lt;'Data Entry'!$B$12,'Data Entry'!$G$73,0)</f>
        <v>0</v>
      </c>
      <c r="AF35" s="466">
        <f>IF(AF$6&lt;'Data Entry'!$B$12,'Data Entry'!$G$73,0)</f>
        <v>0</v>
      </c>
      <c r="AG35" s="466">
        <f>IF(AG$6&lt;'Data Entry'!$B$12,'Data Entry'!$G$73,0)</f>
        <v>0</v>
      </c>
      <c r="AH35" s="466">
        <f>IF(AH$6&lt;'Data Entry'!$B$12,'Data Entry'!$G$73,0)</f>
        <v>0</v>
      </c>
      <c r="AI35" s="466">
        <f>IF(AI$6&lt;'Data Entry'!$B$12,'Data Entry'!$G$73,0)</f>
        <v>0</v>
      </c>
      <c r="AJ35" s="466">
        <f>IF(AJ$6&lt;'Data Entry'!$B$12,'Data Entry'!$G$73,0)</f>
        <v>0</v>
      </c>
      <c r="AK35" s="466">
        <f>IF(AK$6&lt;'Data Entry'!$B$12,'Data Entry'!$G$73,0)</f>
        <v>0</v>
      </c>
      <c r="AL35" s="466">
        <f>IF(AL$6&lt;'Data Entry'!$B$12,'Data Entry'!$G$73,0)</f>
        <v>0</v>
      </c>
      <c r="AM35" s="466">
        <f>IF(AM$6&lt;'Data Entry'!$B$12,'Data Entry'!$G$73,0)</f>
        <v>0</v>
      </c>
      <c r="AN35" s="466">
        <f>IF(AN$6&lt;'Data Entry'!$B$12,'Data Entry'!$G$73,0)</f>
        <v>0</v>
      </c>
      <c r="AO35" s="467">
        <f>IF(AO$6&lt;'Data Entry'!$B$12,'Data Entry'!$G$73,0)</f>
        <v>0</v>
      </c>
      <c r="AP35" s="466">
        <f>IF(AP$6&lt;'Data Entry'!$B$12,'Data Entry'!$G$73,0)</f>
        <v>0</v>
      </c>
      <c r="AQ35" s="466">
        <f>IF(AQ$6&lt;'Data Entry'!$B$12,'Data Entry'!$G$73,0)</f>
        <v>0</v>
      </c>
      <c r="AR35" s="466">
        <f>IF(AR$6&lt;'Data Entry'!$B$12,'Data Entry'!$G$73,0)</f>
        <v>0</v>
      </c>
      <c r="AS35" s="466">
        <f>IF(AS$6&lt;'Data Entry'!$B$12,'Data Entry'!$G$73,0)</f>
        <v>0</v>
      </c>
      <c r="AT35" s="466">
        <f>IF(AT$6&lt;'Data Entry'!$B$12,'Data Entry'!$G$73,0)</f>
        <v>0</v>
      </c>
      <c r="AU35" s="466">
        <f>IF(AU$6&lt;'Data Entry'!$B$12,'Data Entry'!$G$73,0)</f>
        <v>0</v>
      </c>
      <c r="AV35" s="466">
        <f>IF(AV$6&lt;'Data Entry'!$B$12,'Data Entry'!$G$73,0)</f>
        <v>0</v>
      </c>
      <c r="AW35" s="466">
        <f>IF(AW$6&lt;'Data Entry'!$B$12,'Data Entry'!$G$73,0)</f>
        <v>0</v>
      </c>
      <c r="AX35" s="466">
        <f>IF(AX$6&lt;'Data Entry'!$B$12,'Data Entry'!$G$73,0)</f>
        <v>0</v>
      </c>
      <c r="AY35" s="466">
        <f>IF(AY$6&lt;'Data Entry'!$B$12,'Data Entry'!$G$73,0)</f>
        <v>0</v>
      </c>
      <c r="AZ35" s="466">
        <f>IF(AZ$6&lt;'Data Entry'!$B$12,'Data Entry'!$G$73,0)</f>
        <v>0</v>
      </c>
      <c r="BA35" s="466">
        <f>IF(BA$6&lt;'Data Entry'!$B$12,'Data Entry'!$G$73,0)</f>
        <v>0</v>
      </c>
      <c r="BB35" s="466">
        <f>IF(BB$6&lt;'Data Entry'!$B$12,'Data Entry'!$G$73,0)</f>
        <v>0</v>
      </c>
      <c r="BC35" s="466">
        <f>IF(BC$6&lt;'Data Entry'!$B$12,'Data Entry'!$G$73,0)</f>
        <v>0</v>
      </c>
      <c r="BD35" s="466">
        <f>IF(BD$6&lt;'Data Entry'!$B$12,'Data Entry'!$G$73,0)</f>
        <v>0</v>
      </c>
      <c r="BE35" s="466">
        <f>IF(BE$6&lt;'Data Entry'!$B$12,'Data Entry'!$G$73,0)</f>
        <v>0</v>
      </c>
      <c r="BF35" s="466">
        <f>IF(BF$6&lt;'Data Entry'!$B$12,'Data Entry'!$G$73,0)</f>
        <v>0</v>
      </c>
      <c r="BG35" s="466">
        <f>IF(BG$6&lt;'Data Entry'!$B$12,'Data Entry'!$G$73,0)</f>
        <v>0</v>
      </c>
      <c r="BH35" s="466">
        <f>IF(BH$6&lt;'Data Entry'!$B$12,'Data Entry'!$G$73,0)</f>
        <v>0</v>
      </c>
      <c r="BI35" s="466">
        <f>IF(BI$6&lt;'Data Entry'!$B$12,'Data Entry'!$G$73,0)</f>
        <v>0</v>
      </c>
      <c r="BJ35" s="466">
        <f>IF(BJ$6&lt;'Data Entry'!$B$12,'Data Entry'!$G$73,0)</f>
        <v>0</v>
      </c>
      <c r="BK35" s="467">
        <f>IF(BK$6&lt;'Data Entry'!$B$12,'Data Entry'!$G$73,0)</f>
        <v>0</v>
      </c>
      <c r="BL35" s="466">
        <f>IF(BL$6&lt;'Data Entry'!$B$12,'Data Entry'!$G$73,0)</f>
        <v>0</v>
      </c>
      <c r="BM35" s="466">
        <f>IF(BM$6&lt;'Data Entry'!$B$12,'Data Entry'!$G$73,0)</f>
        <v>0</v>
      </c>
      <c r="BN35" s="466">
        <f>IF(BN$6&lt;'Data Entry'!$B$12,'Data Entry'!$G$73,0)</f>
        <v>0</v>
      </c>
      <c r="BO35" s="466">
        <f>IF(BO$6&lt;'Data Entry'!$B$12,'Data Entry'!$G$73,0)</f>
        <v>0</v>
      </c>
      <c r="BP35" s="466">
        <f>IF(BP$6&lt;'Data Entry'!$B$12,'Data Entry'!$G$73,0)</f>
        <v>0</v>
      </c>
      <c r="BQ35" s="466">
        <f>IF(BQ$6&lt;'Data Entry'!$B$12,'Data Entry'!$G$73,0)</f>
        <v>0</v>
      </c>
      <c r="BR35" s="466">
        <f>IF(BR$6&lt;'Data Entry'!$B$12,'Data Entry'!$G$73,0)</f>
        <v>0</v>
      </c>
      <c r="BS35" s="466">
        <f>IF(BS$6&lt;'Data Entry'!$B$12,'Data Entry'!$G$73,0)</f>
        <v>0</v>
      </c>
      <c r="BT35" s="466">
        <f>IF(BT$6&lt;'Data Entry'!$B$12,'Data Entry'!$G$73,0)</f>
        <v>0</v>
      </c>
      <c r="BU35" s="466">
        <f>IF(BU$6&lt;'Data Entry'!$B$12,'Data Entry'!$G$73,0)</f>
        <v>0</v>
      </c>
      <c r="BV35" s="466">
        <f>IF(BV$6&lt;'Data Entry'!$B$12,'Data Entry'!$G$73,0)</f>
        <v>0</v>
      </c>
      <c r="BW35" s="466">
        <f>IF(BW$6&lt;'Data Entry'!$B$12,'Data Entry'!$G$73,0)</f>
        <v>0</v>
      </c>
      <c r="BX35" s="466">
        <f>IF(BX$6&lt;'Data Entry'!$B$12,'Data Entry'!$G$73,0)</f>
        <v>0</v>
      </c>
      <c r="BY35" s="466">
        <f>IF(BY$6&lt;'Data Entry'!$B$12,'Data Entry'!$G$73,0)</f>
        <v>0</v>
      </c>
      <c r="BZ35" s="466">
        <f>IF(BZ$6&lt;'Data Entry'!$B$12,'Data Entry'!$G$73,0)</f>
        <v>0</v>
      </c>
      <c r="CA35" s="467">
        <f>IF(CA$6&lt;'Data Entry'!$B$12,'Data Entry'!$G$73,0)</f>
        <v>0</v>
      </c>
      <c r="CB35" s="466">
        <f>IF(CB$6&lt;'Data Entry'!$B$12,'Data Entry'!$G$73,0)</f>
        <v>0</v>
      </c>
      <c r="CC35" s="466">
        <f>IF(CC$6&lt;'Data Entry'!$B$12,'Data Entry'!$G$73,0)</f>
        <v>0</v>
      </c>
      <c r="CD35" s="466">
        <f>IF(CD$6&lt;'Data Entry'!$B$12,'Data Entry'!$G$73,0)</f>
        <v>0</v>
      </c>
      <c r="CE35" s="466">
        <f>IF(CE$6&lt;'Data Entry'!$B$12,'Data Entry'!$G$73,0)</f>
        <v>0</v>
      </c>
      <c r="CF35" s="466">
        <f>IF(CF$6&lt;'Data Entry'!$B$12,'Data Entry'!$G$73,0)</f>
        <v>0</v>
      </c>
      <c r="CG35" s="466">
        <f>IF(CG$6&lt;'Data Entry'!$B$12,'Data Entry'!$G$73,0)</f>
        <v>0</v>
      </c>
      <c r="CH35" s="466">
        <f>IF(CH$6&lt;'Data Entry'!$B$12,'Data Entry'!$G$73,0)</f>
        <v>0</v>
      </c>
      <c r="CI35" s="466">
        <f>IF(CI$6&lt;'Data Entry'!$B$12,'Data Entry'!$G$73,0)</f>
        <v>0</v>
      </c>
      <c r="CJ35" s="466">
        <f>IF(CJ$6&lt;'Data Entry'!$B$12,'Data Entry'!$G$73,0)</f>
        <v>0</v>
      </c>
      <c r="CK35" s="466">
        <f>IF(CK$6&lt;'Data Entry'!$B$12,'Data Entry'!$G$73,0)</f>
        <v>0</v>
      </c>
      <c r="CL35" s="466">
        <f>IF(CL$6&lt;'Data Entry'!$B$12,'Data Entry'!$G$73,0)</f>
        <v>0</v>
      </c>
      <c r="CM35" s="466">
        <f>IF(CM$6&lt;'Data Entry'!$B$12,'Data Entry'!$G$73,0)</f>
        <v>0</v>
      </c>
      <c r="CN35" s="466">
        <f>IF(CN$6&lt;'Data Entry'!$B$12,'Data Entry'!$G$73,0)</f>
        <v>0</v>
      </c>
      <c r="CO35" s="466">
        <f>IF(CO$6&lt;'Data Entry'!$B$12,'Data Entry'!$G$73,0)</f>
        <v>0</v>
      </c>
      <c r="CP35" s="466">
        <f>IF(CP$6&lt;'Data Entry'!$B$12,'Data Entry'!$G$73,0)</f>
        <v>0</v>
      </c>
      <c r="CQ35" s="466">
        <f>IF(CQ$6&lt;'Data Entry'!$B$12,'Data Entry'!$G$73,0)</f>
        <v>0</v>
      </c>
      <c r="CR35" s="466">
        <f>IF(CR$6&lt;'Data Entry'!$B$12,'Data Entry'!$G$73,0)</f>
        <v>0</v>
      </c>
      <c r="CS35" s="466">
        <f>IF(CS$6&lt;'Data Entry'!$B$12,'Data Entry'!$G$73,0)</f>
        <v>0</v>
      </c>
      <c r="CT35" s="466">
        <f>IF(CT$6&lt;'Data Entry'!$B$12,'Data Entry'!$G$73,0)</f>
        <v>0</v>
      </c>
      <c r="CU35" s="466">
        <f>IF(CU$6&lt;'Data Entry'!$B$12,'Data Entry'!$G$73,0)</f>
        <v>0</v>
      </c>
      <c r="CV35" s="466">
        <f>IF(CV$6&lt;'Data Entry'!$B$12,'Data Entry'!$G$73,0)</f>
        <v>0</v>
      </c>
      <c r="CW35" s="466">
        <f>IF(CW$6&lt;'Data Entry'!$B$12,'Data Entry'!$G$73,0)</f>
        <v>0</v>
      </c>
      <c r="CX35" s="466">
        <f>IF(CX$6&lt;'Data Entry'!$B$12,'Data Entry'!$G$73,0)</f>
        <v>0</v>
      </c>
      <c r="CY35" s="466">
        <f>IF(CY$6&lt;'Data Entry'!$B$12,'Data Entry'!$G$73,0)</f>
        <v>0</v>
      </c>
    </row>
    <row r="36" spans="1:103" ht="15" customHeight="1" x14ac:dyDescent="0.2">
      <c r="A36" s="1064"/>
      <c r="B36" s="450" t="s">
        <v>14</v>
      </c>
      <c r="C36" s="269">
        <f>SUM(D36:CY36)</f>
        <v>0</v>
      </c>
      <c r="D36" s="466">
        <f>IF('Data Entry'!$B$74="Yes",IF(D6&lt;'Data Entry'!$B$12,'Data Entry'!$B$59*VLOOKUP(Cashflow!D6+1,'Cost Data'!$A$66:$E$165,2,FALSE)+'Data Entry'!$B$60*VLOOKUP(Cashflow!D6+1,'Cost Data'!$A$66:$E$165,3,FALSE)+'Data Entry'!$B$61*VLOOKUP(Cashflow!D6+1,'Cost Data'!$A$66:$E$165,4,FALSE)+SUM('Data Entry'!$B$62,'Data Entry'!$B$63,'Data Entry'!$B$65,'Data Entry'!$B$66,'Data Entry'!$B$67)*'Cost Data'!$C$45,0),0)</f>
        <v>0</v>
      </c>
      <c r="E36" s="466">
        <f>IF('Data Entry'!$B$74="Yes",IF(E6&lt;'Data Entry'!$B$12,'Data Entry'!$B$59*VLOOKUP(Cashflow!E6+1,'Cost Data'!$A$66:$E$165,2,FALSE)+'Data Entry'!$B$60*VLOOKUP(Cashflow!E6+1,'Cost Data'!$A$66:$E$165,3,FALSE)+'Data Entry'!$B$61*VLOOKUP(Cashflow!E6+1,'Cost Data'!$A$66:$E$165,4,FALSE)+SUM('Data Entry'!$B$62,'Data Entry'!$B$63,'Data Entry'!$B$65,'Data Entry'!$B$66,'Data Entry'!$B$67)*'Cost Data'!$C$45,0),0)</f>
        <v>0</v>
      </c>
      <c r="F36" s="466">
        <f>IF('Data Entry'!$B$74="Yes",IF(F6&lt;'Data Entry'!$B$12,'Data Entry'!$B$59*VLOOKUP(Cashflow!F6+1,'Cost Data'!$A$66:$E$165,2,FALSE)+'Data Entry'!$B$60*VLOOKUP(Cashflow!F6+1,'Cost Data'!$A$66:$E$165,3,FALSE)+'Data Entry'!$B$61*VLOOKUP(Cashflow!F6+1,'Cost Data'!$A$66:$E$165,4,FALSE)+SUM('Data Entry'!$B$62,'Data Entry'!$B$63,'Data Entry'!$B$65,'Data Entry'!$B$66,'Data Entry'!$B$67)*'Cost Data'!$C$45,0),0)</f>
        <v>0</v>
      </c>
      <c r="G36" s="466">
        <f>IF('Data Entry'!$B$74="Yes",IF(G6&lt;'Data Entry'!$B$12,'Data Entry'!$B$59*VLOOKUP(Cashflow!G6+1,'Cost Data'!$A$66:$E$165,2,FALSE)+'Data Entry'!$B$60*VLOOKUP(Cashflow!G6+1,'Cost Data'!$A$66:$E$165,3,FALSE)+'Data Entry'!$B$61*VLOOKUP(Cashflow!G6+1,'Cost Data'!$A$66:$E$165,4,FALSE)+SUM('Data Entry'!$B$62,'Data Entry'!$B$63,'Data Entry'!$B$65,'Data Entry'!$B$66,'Data Entry'!$B$67)*'Cost Data'!$C$45,0),0)</f>
        <v>0</v>
      </c>
      <c r="H36" s="466">
        <f>IF('Data Entry'!$B$74="Yes",IF(H6&lt;'Data Entry'!$B$12,'Data Entry'!$B$59*VLOOKUP(Cashflow!H6+1,'Cost Data'!$A$66:$E$165,2,FALSE)+'Data Entry'!$B$60*VLOOKUP(Cashflow!H6+1,'Cost Data'!$A$66:$E$165,3,FALSE)+'Data Entry'!$B$61*VLOOKUP(Cashflow!H6+1,'Cost Data'!$A$66:$E$165,4,FALSE)+SUM('Data Entry'!$B$62,'Data Entry'!$B$63,'Data Entry'!$B$65,'Data Entry'!$B$66,'Data Entry'!$B$67)*'Cost Data'!$C$45,0),0)</f>
        <v>0</v>
      </c>
      <c r="I36" s="466">
        <f>IF('Data Entry'!$B$74="Yes",IF(I6&lt;'Data Entry'!$B$12,'Data Entry'!$B$59*VLOOKUP(Cashflow!I6+1,'Cost Data'!$A$66:$E$165,2,FALSE)+'Data Entry'!$B$60*VLOOKUP(Cashflow!I6+1,'Cost Data'!$A$66:$E$165,3,FALSE)+'Data Entry'!$B$61*VLOOKUP(Cashflow!I6+1,'Cost Data'!$A$66:$E$165,4,FALSE)+SUM('Data Entry'!$B$62,'Data Entry'!$B$63,'Data Entry'!$B$65,'Data Entry'!$B$66,'Data Entry'!$B$67)*'Cost Data'!$C$45,0),0)</f>
        <v>0</v>
      </c>
      <c r="J36" s="466">
        <f>IF('Data Entry'!$B$74="Yes",IF(J6&lt;'Data Entry'!$B$12,'Data Entry'!$B$59*VLOOKUP(Cashflow!J6+1,'Cost Data'!$A$66:$E$165,2,FALSE)+'Data Entry'!$B$60*VLOOKUP(Cashflow!J6+1,'Cost Data'!$A$66:$E$165,3,FALSE)+'Data Entry'!$B$61*VLOOKUP(Cashflow!J6+1,'Cost Data'!$A$66:$E$165,4,FALSE)+SUM('Data Entry'!$B$62,'Data Entry'!$B$63,'Data Entry'!$B$65,'Data Entry'!$B$66,'Data Entry'!$B$67)*'Cost Data'!$C$45,0),0)</f>
        <v>0</v>
      </c>
      <c r="K36" s="466">
        <f>IF('Data Entry'!$B$74="Yes",IF(K6&lt;'Data Entry'!$B$12,'Data Entry'!$B$59*VLOOKUP(Cashflow!K6+1,'Cost Data'!$A$66:$E$165,2,FALSE)+'Data Entry'!$B$60*VLOOKUP(Cashflow!K6+1,'Cost Data'!$A$66:$E$165,3,FALSE)+'Data Entry'!$B$61*VLOOKUP(Cashflow!K6+1,'Cost Data'!$A$66:$E$165,4,FALSE)+SUM('Data Entry'!$B$62,'Data Entry'!$B$63,'Data Entry'!$B$65,'Data Entry'!$B$66,'Data Entry'!$B$67)*'Cost Data'!$C$45,0),0)</f>
        <v>0</v>
      </c>
      <c r="L36" s="466">
        <f>IF('Data Entry'!$B$74="Yes",IF(L6&lt;'Data Entry'!$B$12,'Data Entry'!$B$59*VLOOKUP(Cashflow!L6+1,'Cost Data'!$A$66:$E$165,2,FALSE)+'Data Entry'!$B$60*VLOOKUP(Cashflow!L6+1,'Cost Data'!$A$66:$E$165,3,FALSE)+'Data Entry'!$B$61*VLOOKUP(Cashflow!L6+1,'Cost Data'!$A$66:$E$165,4,FALSE)+SUM('Data Entry'!$B$62,'Data Entry'!$B$63,'Data Entry'!$B$65,'Data Entry'!$B$66,'Data Entry'!$B$67)*'Cost Data'!$C$45,0),0)</f>
        <v>0</v>
      </c>
      <c r="M36" s="466">
        <f>IF('Data Entry'!$B$74="Yes",IF(M6&lt;'Data Entry'!$B$12,'Data Entry'!$B$59*VLOOKUP(Cashflow!M6+1,'Cost Data'!$A$66:$E$165,2,FALSE)+'Data Entry'!$B$60*VLOOKUP(Cashflow!M6+1,'Cost Data'!$A$66:$E$165,3,FALSE)+'Data Entry'!$B$61*VLOOKUP(Cashflow!M6+1,'Cost Data'!$A$66:$E$165,4,FALSE)+SUM('Data Entry'!$B$62,'Data Entry'!$B$63,'Data Entry'!$B$65,'Data Entry'!$B$66,'Data Entry'!$B$67)*'Cost Data'!$C$45,0),0)</f>
        <v>0</v>
      </c>
      <c r="N36" s="466">
        <f>IF('Data Entry'!$B$74="Yes",IF(N6&lt;'Data Entry'!$B$12,'Data Entry'!$B$59*VLOOKUP(Cashflow!N6+1,'Cost Data'!$A$66:$E$165,2,FALSE)+'Data Entry'!$B$60*VLOOKUP(Cashflow!N6+1,'Cost Data'!$A$66:$E$165,3,FALSE)+'Data Entry'!$B$61*VLOOKUP(Cashflow!N6+1,'Cost Data'!$A$66:$E$165,4,FALSE)+SUM('Data Entry'!$B$62,'Data Entry'!$B$63,'Data Entry'!$B$65,'Data Entry'!$B$66,'Data Entry'!$B$67)*'Cost Data'!$C$45,0),0)</f>
        <v>0</v>
      </c>
      <c r="O36" s="466">
        <f>IF('Data Entry'!$B$74="Yes",IF(O6&lt;'Data Entry'!$B$12,'Data Entry'!$B$59*VLOOKUP(Cashflow!O6+1,'Cost Data'!$A$66:$E$165,2,FALSE)+'Data Entry'!$B$60*VLOOKUP(Cashflow!O6+1,'Cost Data'!$A$66:$E$165,3,FALSE)+'Data Entry'!$B$61*VLOOKUP(Cashflow!O6+1,'Cost Data'!$A$66:$E$165,4,FALSE)+SUM('Data Entry'!$B$62,'Data Entry'!$B$63,'Data Entry'!$B$65,'Data Entry'!$B$66,'Data Entry'!$B$67)*'Cost Data'!$C$45,0),0)</f>
        <v>0</v>
      </c>
      <c r="P36" s="466">
        <f>IF('Data Entry'!$B$74="Yes",IF(P6&lt;'Data Entry'!$B$12,'Data Entry'!$B$59*VLOOKUP(Cashflow!P6+1,'Cost Data'!$A$66:$E$165,2,FALSE)+'Data Entry'!$B$60*VLOOKUP(Cashflow!P6+1,'Cost Data'!$A$66:$E$165,3,FALSE)+'Data Entry'!$B$61*VLOOKUP(Cashflow!P6+1,'Cost Data'!$A$66:$E$165,4,FALSE)+SUM('Data Entry'!$B$62,'Data Entry'!$B$63,'Data Entry'!$B$65,'Data Entry'!$B$66,'Data Entry'!$B$67)*'Cost Data'!$C$45,0),0)</f>
        <v>0</v>
      </c>
      <c r="Q36" s="466">
        <f>IF('Data Entry'!$B$74="Yes",IF(Q6&lt;'Data Entry'!$B$12,'Data Entry'!$B$59*VLOOKUP(Cashflow!Q6+1,'Cost Data'!$A$66:$E$165,2,FALSE)+'Data Entry'!$B$60*VLOOKUP(Cashflow!Q6+1,'Cost Data'!$A$66:$E$165,3,FALSE)+'Data Entry'!$B$61*VLOOKUP(Cashflow!Q6+1,'Cost Data'!$A$66:$E$165,4,FALSE)+SUM('Data Entry'!$B$62,'Data Entry'!$B$63,'Data Entry'!$B$65,'Data Entry'!$B$66,'Data Entry'!$B$67)*'Cost Data'!$C$45,0),0)</f>
        <v>0</v>
      </c>
      <c r="R36" s="466">
        <f>IF('Data Entry'!$B$74="Yes",IF(R6&lt;'Data Entry'!$B$12,'Data Entry'!$B$59*VLOOKUP(Cashflow!R6+1,'Cost Data'!$A$66:$E$165,2,FALSE)+'Data Entry'!$B$60*VLOOKUP(Cashflow!R6+1,'Cost Data'!$A$66:$E$165,3,FALSE)+'Data Entry'!$B$61*VLOOKUP(Cashflow!R6+1,'Cost Data'!$A$66:$E$165,4,FALSE)+SUM('Data Entry'!$B$62,'Data Entry'!$B$63,'Data Entry'!$B$65,'Data Entry'!$B$66,'Data Entry'!$B$67)*'Cost Data'!$C$45,0),0)</f>
        <v>0</v>
      </c>
      <c r="S36" s="466">
        <f>IF('Data Entry'!$B$74="Yes",IF(S6&lt;'Data Entry'!$B$12,'Data Entry'!$B$59*VLOOKUP(Cashflow!S6+1,'Cost Data'!$A$66:$E$165,2,FALSE)+'Data Entry'!$B$60*VLOOKUP(Cashflow!S6+1,'Cost Data'!$A$66:$E$165,3,FALSE)+'Data Entry'!$B$61*VLOOKUP(Cashflow!S6+1,'Cost Data'!$A$66:$E$165,4,FALSE)+SUM('Data Entry'!$B$62,'Data Entry'!$B$63,'Data Entry'!$B$65,'Data Entry'!$B$66,'Data Entry'!$B$67)*'Cost Data'!$C$45,0),0)</f>
        <v>0</v>
      </c>
      <c r="T36" s="466">
        <f>IF('Data Entry'!$B$74="Yes",IF(T6&lt;'Data Entry'!$B$12,'Data Entry'!$B$59*VLOOKUP(Cashflow!T6+1,'Cost Data'!$A$66:$E$165,2,FALSE)+'Data Entry'!$B$60*VLOOKUP(Cashflow!T6+1,'Cost Data'!$A$66:$E$165,3,FALSE)+'Data Entry'!$B$61*VLOOKUP(Cashflow!T6+1,'Cost Data'!$A$66:$E$165,4,FALSE)+SUM('Data Entry'!$B$62,'Data Entry'!$B$63,'Data Entry'!$B$65,'Data Entry'!$B$66,'Data Entry'!$B$67)*'Cost Data'!$C$45,0),0)</f>
        <v>0</v>
      </c>
      <c r="U36" s="466">
        <f>IF('Data Entry'!$B$74="Yes",IF(U6&lt;'Data Entry'!$B$12,'Data Entry'!$B$59*VLOOKUP(Cashflow!U6+1,'Cost Data'!$A$66:$E$165,2,FALSE)+'Data Entry'!$B$60*VLOOKUP(Cashflow!U6+1,'Cost Data'!$A$66:$E$165,3,FALSE)+'Data Entry'!$B$61*VLOOKUP(Cashflow!U6+1,'Cost Data'!$A$66:$E$165,4,FALSE)+SUM('Data Entry'!$B$62,'Data Entry'!$B$63,'Data Entry'!$B$65,'Data Entry'!$B$66,'Data Entry'!$B$67)*'Cost Data'!$C$45,0),0)</f>
        <v>0</v>
      </c>
      <c r="V36" s="466">
        <f>IF('Data Entry'!$B$74="Yes",IF(V6&lt;'Data Entry'!$B$12,'Data Entry'!$B$59*VLOOKUP(Cashflow!V6+1,'Cost Data'!$A$66:$E$165,2,FALSE)+'Data Entry'!$B$60*VLOOKUP(Cashflow!V6+1,'Cost Data'!$A$66:$E$165,3,FALSE)+'Data Entry'!$B$61*VLOOKUP(Cashflow!V6+1,'Cost Data'!$A$66:$E$165,4,FALSE)+SUM('Data Entry'!$B$62,'Data Entry'!$B$63,'Data Entry'!$B$65,'Data Entry'!$B$66,'Data Entry'!$B$67)*'Cost Data'!$C$45,0),0)</f>
        <v>0</v>
      </c>
      <c r="W36" s="466">
        <f>IF('Data Entry'!$B$74="Yes",IF(W6&lt;'Data Entry'!$B$12,'Data Entry'!$B$59*VLOOKUP(Cashflow!W6+1,'Cost Data'!$A$66:$E$165,2,FALSE)+'Data Entry'!$B$60*VLOOKUP(Cashflow!W6+1,'Cost Data'!$A$66:$E$165,3,FALSE)+'Data Entry'!$B$61*VLOOKUP(Cashflow!W6+1,'Cost Data'!$A$66:$E$165,4,FALSE)+SUM('Data Entry'!$B$62,'Data Entry'!$B$63,'Data Entry'!$B$65,'Data Entry'!$B$66,'Data Entry'!$B$67)*'Cost Data'!$C$45,0),0)</f>
        <v>0</v>
      </c>
      <c r="X36" s="466">
        <f>IF('Data Entry'!$B$74="Yes",IF(X6&lt;'Data Entry'!$B$12,'Data Entry'!$B$59*VLOOKUP(Cashflow!X6+1,'Cost Data'!$A$66:$E$165,2,FALSE)+'Data Entry'!$B$60*VLOOKUP(Cashflow!X6+1,'Cost Data'!$A$66:$E$165,3,FALSE)+'Data Entry'!$B$61*VLOOKUP(Cashflow!X6+1,'Cost Data'!$A$66:$E$165,4,FALSE)+SUM('Data Entry'!$B$62,'Data Entry'!$B$63,'Data Entry'!$B$65,'Data Entry'!$B$66,'Data Entry'!$B$67)*'Cost Data'!$C$45,0),0)</f>
        <v>0</v>
      </c>
      <c r="Y36" s="466">
        <f>IF('Data Entry'!$B$74="Yes",IF(Y6&lt;'Data Entry'!$B$12,'Data Entry'!$B$59*VLOOKUP(Cashflow!Y6+1,'Cost Data'!$A$66:$E$165,2,FALSE)+'Data Entry'!$B$60*VLOOKUP(Cashflow!Y6+1,'Cost Data'!$A$66:$E$165,3,FALSE)+'Data Entry'!$B$61*VLOOKUP(Cashflow!Y6+1,'Cost Data'!$A$66:$E$165,4,FALSE)+SUM('Data Entry'!$B$62,'Data Entry'!$B$63,'Data Entry'!$B$65,'Data Entry'!$B$66,'Data Entry'!$B$67)*'Cost Data'!$C$45,0),0)</f>
        <v>0</v>
      </c>
      <c r="Z36" s="466">
        <f>IF('Data Entry'!$B$74="Yes",IF(Z6&lt;'Data Entry'!$B$12,'Data Entry'!$B$59*VLOOKUP(Cashflow!Z6+1,'Cost Data'!$A$66:$E$165,2,FALSE)+'Data Entry'!$B$60*VLOOKUP(Cashflow!Z6+1,'Cost Data'!$A$66:$E$165,3,FALSE)+'Data Entry'!$B$61*VLOOKUP(Cashflow!Z6+1,'Cost Data'!$A$66:$E$165,4,FALSE)+SUM('Data Entry'!$B$62,'Data Entry'!$B$63,'Data Entry'!$B$65,'Data Entry'!$B$66,'Data Entry'!$B$67)*'Cost Data'!$C$45,0),0)</f>
        <v>0</v>
      </c>
      <c r="AA36" s="466">
        <f>IF('Data Entry'!$B$74="Yes",IF(AA6&lt;'Data Entry'!$B$12,'Data Entry'!$B$59*VLOOKUP(Cashflow!AA6+1,'Cost Data'!$A$66:$E$165,2,FALSE)+'Data Entry'!$B$60*VLOOKUP(Cashflow!AA6+1,'Cost Data'!$A$66:$E$165,3,FALSE)+'Data Entry'!$B$61*VLOOKUP(Cashflow!AA6+1,'Cost Data'!$A$66:$E$165,4,FALSE)+SUM('Data Entry'!$B$62,'Data Entry'!$B$63,'Data Entry'!$B$65,'Data Entry'!$B$66,'Data Entry'!$B$67)*'Cost Data'!$C$45,0),0)</f>
        <v>0</v>
      </c>
      <c r="AB36" s="466">
        <f>IF('Data Entry'!$B$74="Yes",IF(AB6&lt;'Data Entry'!$B$12,'Data Entry'!$B$59*VLOOKUP(Cashflow!AB6+1,'Cost Data'!$A$66:$E$165,2,FALSE)+'Data Entry'!$B$60*VLOOKUP(Cashflow!AB6+1,'Cost Data'!$A$66:$E$165,3,FALSE)+'Data Entry'!$B$61*VLOOKUP(Cashflow!AB6+1,'Cost Data'!$A$66:$E$165,4,FALSE)+SUM('Data Entry'!$B$62,'Data Entry'!$B$63,'Data Entry'!$B$65,'Data Entry'!$B$66,'Data Entry'!$B$67)*'Cost Data'!$C$45,0),0)</f>
        <v>0</v>
      </c>
      <c r="AC36" s="466">
        <f>IF('Data Entry'!$B$74="Yes",IF(AC6&lt;'Data Entry'!$B$12,'Data Entry'!$B$59*VLOOKUP(Cashflow!AC6+1,'Cost Data'!$A$66:$E$165,2,FALSE)+'Data Entry'!$B$60*VLOOKUP(Cashflow!AC6+1,'Cost Data'!$A$66:$E$165,3,FALSE)+'Data Entry'!$B$61*VLOOKUP(Cashflow!AC6+1,'Cost Data'!$A$66:$E$165,4,FALSE)+SUM('Data Entry'!$B$62,'Data Entry'!$B$63,'Data Entry'!$B$65,'Data Entry'!$B$66,'Data Entry'!$B$67)*'Cost Data'!$C$45,0),0)</f>
        <v>0</v>
      </c>
      <c r="AD36" s="466">
        <f>IF('Data Entry'!$B$74="Yes",IF(AD6&lt;'Data Entry'!$B$12,'Data Entry'!$B$59*VLOOKUP(Cashflow!AD6+1,'Cost Data'!$A$66:$E$165,2,FALSE)+'Data Entry'!$B$60*VLOOKUP(Cashflow!AD6+1,'Cost Data'!$A$66:$E$165,3,FALSE)+'Data Entry'!$B$61*VLOOKUP(Cashflow!AD6+1,'Cost Data'!$A$66:$E$165,4,FALSE)+SUM('Data Entry'!$B$62,'Data Entry'!$B$63,'Data Entry'!$B$65,'Data Entry'!$B$66,'Data Entry'!$B$67)*'Cost Data'!$C$45,0),0)</f>
        <v>0</v>
      </c>
      <c r="AE36" s="466">
        <f>IF('Data Entry'!$B$74="Yes",IF(AE6&lt;'Data Entry'!$B$12,'Data Entry'!$B$59*VLOOKUP(Cashflow!AE6+1,'Cost Data'!$A$66:$E$165,2,FALSE)+'Data Entry'!$B$60*VLOOKUP(Cashflow!AE6+1,'Cost Data'!$A$66:$E$165,3,FALSE)+'Data Entry'!$B$61*VLOOKUP(Cashflow!AE6+1,'Cost Data'!$A$66:$E$165,4,FALSE)+SUM('Data Entry'!$B$62,'Data Entry'!$B$63,'Data Entry'!$B$65,'Data Entry'!$B$66,'Data Entry'!$B$67)*'Cost Data'!$C$45,0),0)</f>
        <v>0</v>
      </c>
      <c r="AF36" s="466">
        <f>IF('Data Entry'!$B$74="Yes",IF(AF6&lt;'Data Entry'!$B$12,'Data Entry'!$B$59*VLOOKUP(Cashflow!AF6+1,'Cost Data'!$A$66:$E$165,2,FALSE)+'Data Entry'!$B$60*VLOOKUP(Cashflow!AF6+1,'Cost Data'!$A$66:$E$165,3,FALSE)+'Data Entry'!$B$61*VLOOKUP(Cashflow!AF6+1,'Cost Data'!$A$66:$E$165,4,FALSE)+SUM('Data Entry'!$B$62,'Data Entry'!$B$63,'Data Entry'!$B$65,'Data Entry'!$B$66,'Data Entry'!$B$67)*'Cost Data'!$C$45,0),0)</f>
        <v>0</v>
      </c>
      <c r="AG36" s="466">
        <f>IF('Data Entry'!$B$74="Yes",IF(AG6&lt;'Data Entry'!$B$12,'Data Entry'!$B$59*VLOOKUP(Cashflow!AG6+1,'Cost Data'!$A$66:$E$165,2,FALSE)+'Data Entry'!$B$60*VLOOKUP(Cashflow!AG6+1,'Cost Data'!$A$66:$E$165,3,FALSE)+'Data Entry'!$B$61*VLOOKUP(Cashflow!AG6+1,'Cost Data'!$A$66:$E$165,4,FALSE)+SUM('Data Entry'!$B$62,'Data Entry'!$B$63,'Data Entry'!$B$65,'Data Entry'!$B$66,'Data Entry'!$B$67)*'Cost Data'!$C$45,0),0)</f>
        <v>0</v>
      </c>
      <c r="AH36" s="466">
        <f>IF('Data Entry'!$B$74="Yes",IF(AH6&lt;'Data Entry'!$B$12,'Data Entry'!$B$59*VLOOKUP(Cashflow!AH6+1,'Cost Data'!$A$66:$E$165,2,FALSE)+'Data Entry'!$B$60*VLOOKUP(Cashflow!AH6+1,'Cost Data'!$A$66:$E$165,3,FALSE)+'Data Entry'!$B$61*VLOOKUP(Cashflow!AH6+1,'Cost Data'!$A$66:$E$165,4,FALSE)+SUM('Data Entry'!$B$62,'Data Entry'!$B$63,'Data Entry'!$B$65,'Data Entry'!$B$66,'Data Entry'!$B$67)*'Cost Data'!$C$45,0),0)</f>
        <v>0</v>
      </c>
      <c r="AI36" s="466">
        <f>IF('Data Entry'!$B$74="Yes",IF(AI6&lt;'Data Entry'!$B$12,'Data Entry'!$B$59*VLOOKUP(Cashflow!AI6+1,'Cost Data'!$A$66:$E$165,2,FALSE)+'Data Entry'!$B$60*VLOOKUP(Cashflow!AI6+1,'Cost Data'!$A$66:$E$165,3,FALSE)+'Data Entry'!$B$61*VLOOKUP(Cashflow!AI6+1,'Cost Data'!$A$66:$E$165,4,FALSE)+SUM('Data Entry'!$B$62,'Data Entry'!$B$63,'Data Entry'!$B$65,'Data Entry'!$B$66,'Data Entry'!$B$67)*'Cost Data'!$C$45,0),0)</f>
        <v>0</v>
      </c>
      <c r="AJ36" s="466">
        <f>IF('Data Entry'!$B$74="Yes",IF(AJ6&lt;'Data Entry'!$B$12,'Data Entry'!$B$59*VLOOKUP(Cashflow!AJ6+1,'Cost Data'!$A$66:$E$165,2,FALSE)+'Data Entry'!$B$60*VLOOKUP(Cashflow!AJ6+1,'Cost Data'!$A$66:$E$165,3,FALSE)+'Data Entry'!$B$61*VLOOKUP(Cashflow!AJ6+1,'Cost Data'!$A$66:$E$165,4,FALSE)+SUM('Data Entry'!$B$62,'Data Entry'!$B$63,'Data Entry'!$B$65,'Data Entry'!$B$66,'Data Entry'!$B$67)*'Cost Data'!$C$45,0),0)</f>
        <v>0</v>
      </c>
      <c r="AK36" s="466">
        <f>IF('Data Entry'!$B$74="Yes",IF(AK6&lt;'Data Entry'!$B$12,'Data Entry'!$B$59*VLOOKUP(Cashflow!AK6+1,'Cost Data'!$A$66:$E$165,2,FALSE)+'Data Entry'!$B$60*VLOOKUP(Cashflow!AK6+1,'Cost Data'!$A$66:$E$165,3,FALSE)+'Data Entry'!$B$61*VLOOKUP(Cashflow!AK6+1,'Cost Data'!$A$66:$E$165,4,FALSE)+SUM('Data Entry'!$B$62,'Data Entry'!$B$63,'Data Entry'!$B$65,'Data Entry'!$B$66,'Data Entry'!$B$67)*'Cost Data'!$C$45,0),0)</f>
        <v>0</v>
      </c>
      <c r="AL36" s="466">
        <f>IF('Data Entry'!$B$74="Yes",IF(AL6&lt;'Data Entry'!$B$12,'Data Entry'!$B$59*VLOOKUP(Cashflow!AL6+1,'Cost Data'!$A$66:$E$165,2,FALSE)+'Data Entry'!$B$60*VLOOKUP(Cashflow!AL6+1,'Cost Data'!$A$66:$E$165,3,FALSE)+'Data Entry'!$B$61*VLOOKUP(Cashflow!AL6+1,'Cost Data'!$A$66:$E$165,4,FALSE)+SUM('Data Entry'!$B$62,'Data Entry'!$B$63,'Data Entry'!$B$65,'Data Entry'!$B$66,'Data Entry'!$B$67)*'Cost Data'!$C$45,0),0)</f>
        <v>0</v>
      </c>
      <c r="AM36" s="466">
        <f>IF('Data Entry'!$B$74="Yes",IF(AM6&lt;'Data Entry'!$B$12,'Data Entry'!$B$59*VLOOKUP(Cashflow!AM6+1,'Cost Data'!$A$66:$E$165,2,FALSE)+'Data Entry'!$B$60*VLOOKUP(Cashflow!AM6+1,'Cost Data'!$A$66:$E$165,3,FALSE)+'Data Entry'!$B$61*VLOOKUP(Cashflow!AM6+1,'Cost Data'!$A$66:$E$165,4,FALSE)+SUM('Data Entry'!$B$62,'Data Entry'!$B$63,'Data Entry'!$B$65,'Data Entry'!$B$66,'Data Entry'!$B$67)*'Cost Data'!$C$45,0),0)</f>
        <v>0</v>
      </c>
      <c r="AN36" s="466">
        <f>IF('Data Entry'!$B$74="Yes",IF(AN6&lt;'Data Entry'!$B$12,'Data Entry'!$B$59*VLOOKUP(Cashflow!AN6+1,'Cost Data'!$A$66:$E$165,2,FALSE)+'Data Entry'!$B$60*VLOOKUP(Cashflow!AN6+1,'Cost Data'!$A$66:$E$165,3,FALSE)+'Data Entry'!$B$61*VLOOKUP(Cashflow!AN6+1,'Cost Data'!$A$66:$E$165,4,FALSE)+SUM('Data Entry'!$B$62,'Data Entry'!$B$63,'Data Entry'!$B$65,'Data Entry'!$B$66,'Data Entry'!$B$67)*'Cost Data'!$C$45,0),0)</f>
        <v>0</v>
      </c>
      <c r="AO36" s="467">
        <f>IF('Data Entry'!$B$74="Yes",IF(AO6&lt;'Data Entry'!$B$12,'Data Entry'!$B$59*VLOOKUP(Cashflow!AO6+1,'Cost Data'!$A$66:$E$165,2,FALSE)+'Data Entry'!$B$60*VLOOKUP(Cashflow!AO6+1,'Cost Data'!$A$66:$E$165,3,FALSE)+'Data Entry'!$B$61*VLOOKUP(Cashflow!AO6+1,'Cost Data'!$A$66:$E$165,4,FALSE)+SUM('Data Entry'!$B$62,'Data Entry'!$B$63,'Data Entry'!$B$65,'Data Entry'!$B$66,'Data Entry'!$B$67)*'Cost Data'!$C$45,0),0)</f>
        <v>0</v>
      </c>
      <c r="AP36" s="466">
        <f>IF('Data Entry'!$B$74="Yes",IF(AP6&lt;'Data Entry'!$B$12,'Data Entry'!$B$59*VLOOKUP(Cashflow!AP6+1,'Cost Data'!$A$66:$E$165,2,FALSE)+'Data Entry'!$B$60*VLOOKUP(Cashflow!AP6+1,'Cost Data'!$A$66:$E$165,3,FALSE)+'Data Entry'!$B$61*VLOOKUP(Cashflow!AP6+1,'Cost Data'!$A$66:$E$165,4,FALSE)+SUM('Data Entry'!$B$62,'Data Entry'!$B$63,'Data Entry'!$B$65,'Data Entry'!$B$66,'Data Entry'!$B$67)*'Cost Data'!$C$45,0),0)</f>
        <v>0</v>
      </c>
      <c r="AQ36" s="466">
        <f>IF('Data Entry'!$B$74="Yes",IF(AQ6&lt;'Data Entry'!$B$12,'Data Entry'!$B$59*VLOOKUP(Cashflow!AQ6+1,'Cost Data'!$A$66:$E$165,2,FALSE)+'Data Entry'!$B$60*VLOOKUP(Cashflow!AQ6+1,'Cost Data'!$A$66:$E$165,3,FALSE)+'Data Entry'!$B$61*VLOOKUP(Cashflow!AQ6+1,'Cost Data'!$A$66:$E$165,4,FALSE)+SUM('Data Entry'!$B$62,'Data Entry'!$B$63,'Data Entry'!$B$65,'Data Entry'!$B$66,'Data Entry'!$B$67)*'Cost Data'!$C$45,0),0)</f>
        <v>0</v>
      </c>
      <c r="AR36" s="466">
        <f>IF('Data Entry'!$B$74="Yes",IF(AR6&lt;'Data Entry'!$B$12,'Data Entry'!$B$59*VLOOKUP(Cashflow!AR6+1,'Cost Data'!$A$66:$E$165,2,FALSE)+'Data Entry'!$B$60*VLOOKUP(Cashflow!AR6+1,'Cost Data'!$A$66:$E$165,3,FALSE)+'Data Entry'!$B$61*VLOOKUP(Cashflow!AR6+1,'Cost Data'!$A$66:$E$165,4,FALSE)+SUM('Data Entry'!$B$62,'Data Entry'!$B$63,'Data Entry'!$B$65,'Data Entry'!$B$66,'Data Entry'!$B$67)*'Cost Data'!$C$45,0),0)</f>
        <v>0</v>
      </c>
      <c r="AS36" s="466">
        <f>IF('Data Entry'!$B$74="Yes",IF(AS6&lt;'Data Entry'!$B$12,'Data Entry'!$B$59*VLOOKUP(Cashflow!AS6+1,'Cost Data'!$A$66:$E$165,2,FALSE)+'Data Entry'!$B$60*VLOOKUP(Cashflow!AS6+1,'Cost Data'!$A$66:$E$165,3,FALSE)+'Data Entry'!$B$61*VLOOKUP(Cashflow!AS6+1,'Cost Data'!$A$66:$E$165,4,FALSE)+SUM('Data Entry'!$B$62,'Data Entry'!$B$63,'Data Entry'!$B$65,'Data Entry'!$B$66,'Data Entry'!$B$67)*'Cost Data'!$C$45,0),0)</f>
        <v>0</v>
      </c>
      <c r="AT36" s="466">
        <f>IF('Data Entry'!$B$74="Yes",IF(AT6&lt;'Data Entry'!$B$12,'Data Entry'!$B$59*VLOOKUP(Cashflow!AT6+1,'Cost Data'!$A$66:$E$165,2,FALSE)+'Data Entry'!$B$60*VLOOKUP(Cashflow!AT6+1,'Cost Data'!$A$66:$E$165,3,FALSE)+'Data Entry'!$B$61*VLOOKUP(Cashflow!AT6+1,'Cost Data'!$A$66:$E$165,4,FALSE)+SUM('Data Entry'!$B$62,'Data Entry'!$B$63,'Data Entry'!$B$65,'Data Entry'!$B$66,'Data Entry'!$B$67)*'Cost Data'!$C$45,0),0)</f>
        <v>0</v>
      </c>
      <c r="AU36" s="466">
        <f>IF('Data Entry'!$B$74="Yes",IF(AU6&lt;'Data Entry'!$B$12,'Data Entry'!$B$59*VLOOKUP(Cashflow!AU6+1,'Cost Data'!$A$66:$E$165,2,FALSE)+'Data Entry'!$B$60*VLOOKUP(Cashflow!AU6+1,'Cost Data'!$A$66:$E$165,3,FALSE)+'Data Entry'!$B$61*VLOOKUP(Cashflow!AU6+1,'Cost Data'!$A$66:$E$165,4,FALSE)+SUM('Data Entry'!$B$62,'Data Entry'!$B$63,'Data Entry'!$B$65,'Data Entry'!$B$66,'Data Entry'!$B$67)*'Cost Data'!$C$45,0),0)</f>
        <v>0</v>
      </c>
      <c r="AV36" s="466">
        <f>IF('Data Entry'!$B$74="Yes",IF(AV6&lt;'Data Entry'!$B$12,'Data Entry'!$B$59*VLOOKUP(Cashflow!AV6+1,'Cost Data'!$A$66:$E$165,2,FALSE)+'Data Entry'!$B$60*VLOOKUP(Cashflow!AV6+1,'Cost Data'!$A$66:$E$165,3,FALSE)+'Data Entry'!$B$61*VLOOKUP(Cashflow!AV6+1,'Cost Data'!$A$66:$E$165,4,FALSE)+SUM('Data Entry'!$B$62,'Data Entry'!$B$63,'Data Entry'!$B$65,'Data Entry'!$B$66,'Data Entry'!$B$67)*'Cost Data'!$C$45,0),0)</f>
        <v>0</v>
      </c>
      <c r="AW36" s="466">
        <f>IF('Data Entry'!$B$74="Yes",IF(AW6&lt;'Data Entry'!$B$12,'Data Entry'!$B$59*VLOOKUP(Cashflow!AW6+1,'Cost Data'!$A$66:$E$165,2,FALSE)+'Data Entry'!$B$60*VLOOKUP(Cashflow!AW6+1,'Cost Data'!$A$66:$E$165,3,FALSE)+'Data Entry'!$B$61*VLOOKUP(Cashflow!AW6+1,'Cost Data'!$A$66:$E$165,4,FALSE)+SUM('Data Entry'!$B$62,'Data Entry'!$B$63,'Data Entry'!$B$65,'Data Entry'!$B$66,'Data Entry'!$B$67)*'Cost Data'!$C$45,0),0)</f>
        <v>0</v>
      </c>
      <c r="AX36" s="466">
        <f>IF('Data Entry'!$B$74="Yes",IF(AX6&lt;'Data Entry'!$B$12,'Data Entry'!$B$59*VLOOKUP(Cashflow!AX6+1,'Cost Data'!$A$66:$E$165,2,FALSE)+'Data Entry'!$B$60*VLOOKUP(Cashflow!AX6+1,'Cost Data'!$A$66:$E$165,3,FALSE)+'Data Entry'!$B$61*VLOOKUP(Cashflow!AX6+1,'Cost Data'!$A$66:$E$165,4,FALSE)+SUM('Data Entry'!$B$62,'Data Entry'!$B$63,'Data Entry'!$B$65,'Data Entry'!$B$66,'Data Entry'!$B$67)*'Cost Data'!$C$45,0),0)</f>
        <v>0</v>
      </c>
      <c r="AY36" s="466">
        <f>IF('Data Entry'!$B$74="Yes",IF(AY6&lt;'Data Entry'!$B$12,'Data Entry'!$B$59*VLOOKUP(Cashflow!AY6+1,'Cost Data'!$A$66:$E$165,2,FALSE)+'Data Entry'!$B$60*VLOOKUP(Cashflow!AY6+1,'Cost Data'!$A$66:$E$165,3,FALSE)+'Data Entry'!$B$61*VLOOKUP(Cashflow!AY6+1,'Cost Data'!$A$66:$E$165,4,FALSE)+SUM('Data Entry'!$B$62,'Data Entry'!$B$63,'Data Entry'!$B$65,'Data Entry'!$B$66,'Data Entry'!$B$67)*'Cost Data'!$C$45,0),0)</f>
        <v>0</v>
      </c>
      <c r="AZ36" s="466">
        <f>IF('Data Entry'!$B$74="Yes",IF(AZ6&lt;'Data Entry'!$B$12,'Data Entry'!$B$59*VLOOKUP(Cashflow!AZ6+1,'Cost Data'!$A$66:$E$165,2,FALSE)+'Data Entry'!$B$60*VLOOKUP(Cashflow!AZ6+1,'Cost Data'!$A$66:$E$165,3,FALSE)+'Data Entry'!$B$61*VLOOKUP(Cashflow!AZ6+1,'Cost Data'!$A$66:$E$165,4,FALSE)+SUM('Data Entry'!$B$62,'Data Entry'!$B$63,'Data Entry'!$B$65,'Data Entry'!$B$66,'Data Entry'!$B$67)*'Cost Data'!$C$45,0),0)</f>
        <v>0</v>
      </c>
      <c r="BA36" s="466">
        <f>IF('Data Entry'!$B$74="Yes",IF(BA6&lt;'Data Entry'!$B$12,'Data Entry'!$B$59*VLOOKUP(Cashflow!BA6+1,'Cost Data'!$A$66:$E$165,2,FALSE)+'Data Entry'!$B$60*VLOOKUP(Cashflow!BA6+1,'Cost Data'!$A$66:$E$165,3,FALSE)+'Data Entry'!$B$61*VLOOKUP(Cashflow!BA6+1,'Cost Data'!$A$66:$E$165,4,FALSE)+SUM('Data Entry'!$B$62,'Data Entry'!$B$63,'Data Entry'!$B$65,'Data Entry'!$B$66,'Data Entry'!$B$67)*'Cost Data'!$C$45,0),0)</f>
        <v>0</v>
      </c>
      <c r="BB36" s="466">
        <f>IF('Data Entry'!$B$74="Yes",IF(BB6&lt;'Data Entry'!$B$12,'Data Entry'!$B$59*VLOOKUP(Cashflow!BB6+1,'Cost Data'!$A$66:$E$165,2,FALSE)+'Data Entry'!$B$60*VLOOKUP(Cashflow!BB6+1,'Cost Data'!$A$66:$E$165,3,FALSE)+'Data Entry'!$B$61*VLOOKUP(Cashflow!BB6+1,'Cost Data'!$A$66:$E$165,4,FALSE)+SUM('Data Entry'!$B$62,'Data Entry'!$B$63,'Data Entry'!$B$65,'Data Entry'!$B$66,'Data Entry'!$B$67)*'Cost Data'!$C$45,0),0)</f>
        <v>0</v>
      </c>
      <c r="BC36" s="466">
        <f>IF('Data Entry'!$B$74="Yes",IF(BC6&lt;'Data Entry'!$B$12,'Data Entry'!$B$59*VLOOKUP(Cashflow!BC6+1,'Cost Data'!$A$66:$E$165,2,FALSE)+'Data Entry'!$B$60*VLOOKUP(Cashflow!BC6+1,'Cost Data'!$A$66:$E$165,3,FALSE)+'Data Entry'!$B$61*VLOOKUP(Cashflow!BC6+1,'Cost Data'!$A$66:$E$165,4,FALSE)+SUM('Data Entry'!$B$62,'Data Entry'!$B$63,'Data Entry'!$B$65,'Data Entry'!$B$66,'Data Entry'!$B$67)*'Cost Data'!$C$45,0),0)</f>
        <v>0</v>
      </c>
      <c r="BD36" s="466">
        <f>IF('Data Entry'!$B$74="Yes",IF(BD6&lt;'Data Entry'!$B$12,'Data Entry'!$B$59*VLOOKUP(Cashflow!BD6+1,'Cost Data'!$A$66:$E$165,2,FALSE)+'Data Entry'!$B$60*VLOOKUP(Cashflow!BD6+1,'Cost Data'!$A$66:$E$165,3,FALSE)+'Data Entry'!$B$61*VLOOKUP(Cashflow!BD6+1,'Cost Data'!$A$66:$E$165,4,FALSE)+SUM('Data Entry'!$B$62,'Data Entry'!$B$63,'Data Entry'!$B$65,'Data Entry'!$B$66,'Data Entry'!$B$67)*'Cost Data'!$C$45,0),0)</f>
        <v>0</v>
      </c>
      <c r="BE36" s="466">
        <f>IF('Data Entry'!$B$74="Yes",IF(BE6&lt;'Data Entry'!$B$12,'Data Entry'!$B$59*VLOOKUP(Cashflow!BE6+1,'Cost Data'!$A$66:$E$165,2,FALSE)+'Data Entry'!$B$60*VLOOKUP(Cashflow!BE6+1,'Cost Data'!$A$66:$E$165,3,FALSE)+'Data Entry'!$B$61*VLOOKUP(Cashflow!BE6+1,'Cost Data'!$A$66:$E$165,4,FALSE)+SUM('Data Entry'!$B$62,'Data Entry'!$B$63,'Data Entry'!$B$65,'Data Entry'!$B$66,'Data Entry'!$B$67)*'Cost Data'!$C$45,0),0)</f>
        <v>0</v>
      </c>
      <c r="BF36" s="466">
        <f>IF('Data Entry'!$B$74="Yes",IF(BF6&lt;'Data Entry'!$B$12,'Data Entry'!$B$59*VLOOKUP(Cashflow!BF6+1,'Cost Data'!$A$66:$E$165,2,FALSE)+'Data Entry'!$B$60*VLOOKUP(Cashflow!BF6+1,'Cost Data'!$A$66:$E$165,3,FALSE)+'Data Entry'!$B$61*VLOOKUP(Cashflow!BF6+1,'Cost Data'!$A$66:$E$165,4,FALSE)+SUM('Data Entry'!$B$62,'Data Entry'!$B$63,'Data Entry'!$B$65,'Data Entry'!$B$66,'Data Entry'!$B$67)*'Cost Data'!$C$45,0),0)</f>
        <v>0</v>
      </c>
      <c r="BG36" s="466">
        <f>IF('Data Entry'!$B$74="Yes",IF(BG6&lt;'Data Entry'!$B$12,'Data Entry'!$B$59*VLOOKUP(Cashflow!BG6+1,'Cost Data'!$A$66:$E$165,2,FALSE)+'Data Entry'!$B$60*VLOOKUP(Cashflow!BG6+1,'Cost Data'!$A$66:$E$165,3,FALSE)+'Data Entry'!$B$61*VLOOKUP(Cashflow!BG6+1,'Cost Data'!$A$66:$E$165,4,FALSE)+SUM('Data Entry'!$B$62,'Data Entry'!$B$63,'Data Entry'!$B$65,'Data Entry'!$B$66,'Data Entry'!$B$67)*'Cost Data'!$C$45,0),0)</f>
        <v>0</v>
      </c>
      <c r="BH36" s="466">
        <f>IF('Data Entry'!$B$74="Yes",IF(BH6&lt;'Data Entry'!$B$12,'Data Entry'!$B$59*VLOOKUP(Cashflow!BH6+1,'Cost Data'!$A$66:$E$165,2,FALSE)+'Data Entry'!$B$60*VLOOKUP(Cashflow!BH6+1,'Cost Data'!$A$66:$E$165,3,FALSE)+'Data Entry'!$B$61*VLOOKUP(Cashflow!BH6+1,'Cost Data'!$A$66:$E$165,4,FALSE)+SUM('Data Entry'!$B$62,'Data Entry'!$B$63,'Data Entry'!$B$65,'Data Entry'!$B$66,'Data Entry'!$B$67)*'Cost Data'!$C$45,0),0)</f>
        <v>0</v>
      </c>
      <c r="BI36" s="466">
        <f>IF('Data Entry'!$B$74="Yes",IF(BI6&lt;'Data Entry'!$B$12,'Data Entry'!$B$59*VLOOKUP(Cashflow!BI6+1,'Cost Data'!$A$66:$E$165,2,FALSE)+'Data Entry'!$B$60*VLOOKUP(Cashflow!BI6+1,'Cost Data'!$A$66:$E$165,3,FALSE)+'Data Entry'!$B$61*VLOOKUP(Cashflow!BI6+1,'Cost Data'!$A$66:$E$165,4,FALSE)+SUM('Data Entry'!$B$62,'Data Entry'!$B$63,'Data Entry'!$B$65,'Data Entry'!$B$66,'Data Entry'!$B$67)*'Cost Data'!$C$45,0),0)</f>
        <v>0</v>
      </c>
      <c r="BJ36" s="466">
        <f>IF('Data Entry'!$B$74="Yes",IF(BJ6&lt;'Data Entry'!$B$12,'Data Entry'!$B$59*VLOOKUP(Cashflow!BJ6+1,'Cost Data'!$A$66:$E$165,2,FALSE)+'Data Entry'!$B$60*VLOOKUP(Cashflow!BJ6+1,'Cost Data'!$A$66:$E$165,3,FALSE)+'Data Entry'!$B$61*VLOOKUP(Cashflow!BJ6+1,'Cost Data'!$A$66:$E$165,4,FALSE)+SUM('Data Entry'!$B$62,'Data Entry'!$B$63,'Data Entry'!$B$65,'Data Entry'!$B$66,'Data Entry'!$B$67)*'Cost Data'!$C$45,0),0)</f>
        <v>0</v>
      </c>
      <c r="BK36" s="467">
        <f>IF('Data Entry'!$B$74="Yes",IF(BK6&lt;'Data Entry'!$B$12,'Data Entry'!$B$59*VLOOKUP(Cashflow!BK6+1,'Cost Data'!$A$66:$E$165,2,FALSE)+'Data Entry'!$B$60*VLOOKUP(Cashflow!BK6+1,'Cost Data'!$A$66:$E$165,3,FALSE)+'Data Entry'!$B$61*VLOOKUP(Cashflow!BK6+1,'Cost Data'!$A$66:$E$165,4,FALSE)+SUM('Data Entry'!$B$62,'Data Entry'!$B$63,'Data Entry'!$B$65,'Data Entry'!$B$66,'Data Entry'!$B$67)*'Cost Data'!$C$45,0),0)</f>
        <v>0</v>
      </c>
      <c r="BL36" s="466">
        <f>IF('Data Entry'!$B$74="Yes",IF(BL6&lt;'Data Entry'!$B$12,'Data Entry'!$B$59*VLOOKUP(Cashflow!BL6+1,'Cost Data'!$A$66:$E$165,2,FALSE)+'Data Entry'!$B$60*VLOOKUP(Cashflow!BL6+1,'Cost Data'!$A$66:$E$165,3,FALSE)+'Data Entry'!$B$61*VLOOKUP(Cashflow!BL6+1,'Cost Data'!$A$66:$E$165,4,FALSE)+SUM('Data Entry'!$B$62,'Data Entry'!$B$63,'Data Entry'!$B$65,'Data Entry'!$B$66,'Data Entry'!$B$67)*'Cost Data'!$C$45,0),0)</f>
        <v>0</v>
      </c>
      <c r="BM36" s="466">
        <f>IF('Data Entry'!$B$74="Yes",IF(BM6&lt;'Data Entry'!$B$12,'Data Entry'!$B$59*VLOOKUP(Cashflow!BM6+1,'Cost Data'!$A$66:$E$165,2,FALSE)+'Data Entry'!$B$60*VLOOKUP(Cashflow!BM6+1,'Cost Data'!$A$66:$E$165,3,FALSE)+'Data Entry'!$B$61*VLOOKUP(Cashflow!BM6+1,'Cost Data'!$A$66:$E$165,4,FALSE)+SUM('Data Entry'!$B$62,'Data Entry'!$B$63,'Data Entry'!$B$65,'Data Entry'!$B$66,'Data Entry'!$B$67)*'Cost Data'!$C$45,0),0)</f>
        <v>0</v>
      </c>
      <c r="BN36" s="466">
        <f>IF('Data Entry'!$B$74="Yes",IF(BN6&lt;'Data Entry'!$B$12,'Data Entry'!$B$59*VLOOKUP(Cashflow!BN6+1,'Cost Data'!$A$66:$E$165,2,FALSE)+'Data Entry'!$B$60*VLOOKUP(Cashflow!BN6+1,'Cost Data'!$A$66:$E$165,3,FALSE)+'Data Entry'!$B$61*VLOOKUP(Cashflow!BN6+1,'Cost Data'!$A$66:$E$165,4,FALSE)+SUM('Data Entry'!$B$62,'Data Entry'!$B$63,'Data Entry'!$B$65,'Data Entry'!$B$66,'Data Entry'!$B$67)*'Cost Data'!$C$45,0),0)</f>
        <v>0</v>
      </c>
      <c r="BO36" s="466">
        <f>IF('Data Entry'!$B$74="Yes",IF(BO6&lt;'Data Entry'!$B$12,'Data Entry'!$B$59*VLOOKUP(Cashflow!BO6+1,'Cost Data'!$A$66:$E$165,2,FALSE)+'Data Entry'!$B$60*VLOOKUP(Cashflow!BO6+1,'Cost Data'!$A$66:$E$165,3,FALSE)+'Data Entry'!$B$61*VLOOKUP(Cashflow!BO6+1,'Cost Data'!$A$66:$E$165,4,FALSE)+SUM('Data Entry'!$B$62,'Data Entry'!$B$63,'Data Entry'!$B$65,'Data Entry'!$B$66,'Data Entry'!$B$67)*'Cost Data'!$C$45,0),0)</f>
        <v>0</v>
      </c>
      <c r="BP36" s="466">
        <f>IF('Data Entry'!$B$74="Yes",IF(BP6&lt;'Data Entry'!$B$12,'Data Entry'!$B$59*VLOOKUP(Cashflow!BP6+1,'Cost Data'!$A$66:$E$165,2,FALSE)+'Data Entry'!$B$60*VLOOKUP(Cashflow!BP6+1,'Cost Data'!$A$66:$E$165,3,FALSE)+'Data Entry'!$B$61*VLOOKUP(Cashflow!BP6+1,'Cost Data'!$A$66:$E$165,4,FALSE)+SUM('Data Entry'!$B$62,'Data Entry'!$B$63,'Data Entry'!$B$65,'Data Entry'!$B$66,'Data Entry'!$B$67)*'Cost Data'!$C$45,0),0)</f>
        <v>0</v>
      </c>
      <c r="BQ36" s="466">
        <f>IF('Data Entry'!$B$74="Yes",IF(BQ6&lt;'Data Entry'!$B$12,'Data Entry'!$B$59*VLOOKUP(Cashflow!BQ6+1,'Cost Data'!$A$66:$E$165,2,FALSE)+'Data Entry'!$B$60*VLOOKUP(Cashflow!BQ6+1,'Cost Data'!$A$66:$E$165,3,FALSE)+'Data Entry'!$B$61*VLOOKUP(Cashflow!BQ6+1,'Cost Data'!$A$66:$E$165,4,FALSE)+SUM('Data Entry'!$B$62,'Data Entry'!$B$63,'Data Entry'!$B$65,'Data Entry'!$B$66,'Data Entry'!$B$67)*'Cost Data'!$C$45,0),0)</f>
        <v>0</v>
      </c>
      <c r="BR36" s="466">
        <f>IF('Data Entry'!$B$74="Yes",IF(BR6&lt;'Data Entry'!$B$12,'Data Entry'!$B$59*VLOOKUP(Cashflow!BR6+1,'Cost Data'!$A$66:$E$165,2,FALSE)+'Data Entry'!$B$60*VLOOKUP(Cashflow!BR6+1,'Cost Data'!$A$66:$E$165,3,FALSE)+'Data Entry'!$B$61*VLOOKUP(Cashflow!BR6+1,'Cost Data'!$A$66:$E$165,4,FALSE)+SUM('Data Entry'!$B$62,'Data Entry'!$B$63,'Data Entry'!$B$65,'Data Entry'!$B$66,'Data Entry'!$B$67)*'Cost Data'!$C$45,0),0)</f>
        <v>0</v>
      </c>
      <c r="BS36" s="466">
        <f>IF('Data Entry'!$B$74="Yes",IF(BS6&lt;'Data Entry'!$B$12,'Data Entry'!$B$59*VLOOKUP(Cashflow!BS6+1,'Cost Data'!$A$66:$E$165,2,FALSE)+'Data Entry'!$B$60*VLOOKUP(Cashflow!BS6+1,'Cost Data'!$A$66:$E$165,3,FALSE)+'Data Entry'!$B$61*VLOOKUP(Cashflow!BS6+1,'Cost Data'!$A$66:$E$165,4,FALSE)+SUM('Data Entry'!$B$62,'Data Entry'!$B$63,'Data Entry'!$B$65,'Data Entry'!$B$66,'Data Entry'!$B$67)*'Cost Data'!$C$45,0),0)</f>
        <v>0</v>
      </c>
      <c r="BT36" s="466">
        <f>IF('Data Entry'!$B$74="Yes",IF(BT6&lt;'Data Entry'!$B$12,'Data Entry'!$B$59*VLOOKUP(Cashflow!BT6+1,'Cost Data'!$A$66:$E$165,2,FALSE)+'Data Entry'!$B$60*VLOOKUP(Cashflow!BT6+1,'Cost Data'!$A$66:$E$165,3,FALSE)+'Data Entry'!$B$61*VLOOKUP(Cashflow!BT6+1,'Cost Data'!$A$66:$E$165,4,FALSE)+SUM('Data Entry'!$B$62,'Data Entry'!$B$63,'Data Entry'!$B$65,'Data Entry'!$B$66,'Data Entry'!$B$67)*'Cost Data'!$C$45,0),0)</f>
        <v>0</v>
      </c>
      <c r="BU36" s="466">
        <f>IF('Data Entry'!$B$74="Yes",IF(BU6&lt;'Data Entry'!$B$12,'Data Entry'!$B$59*VLOOKUP(Cashflow!BU6+1,'Cost Data'!$A$66:$E$165,2,FALSE)+'Data Entry'!$B$60*VLOOKUP(Cashflow!BU6+1,'Cost Data'!$A$66:$E$165,3,FALSE)+'Data Entry'!$B$61*VLOOKUP(Cashflow!BU6+1,'Cost Data'!$A$66:$E$165,4,FALSE)+SUM('Data Entry'!$B$62,'Data Entry'!$B$63,'Data Entry'!$B$65,'Data Entry'!$B$66,'Data Entry'!$B$67)*'Cost Data'!$C$45,0),0)</f>
        <v>0</v>
      </c>
      <c r="BV36" s="466">
        <f>IF('Data Entry'!$B$74="Yes",IF(BV6&lt;'Data Entry'!$B$12,'Data Entry'!$B$59*VLOOKUP(Cashflow!BV6+1,'Cost Data'!$A$66:$E$165,2,FALSE)+'Data Entry'!$B$60*VLOOKUP(Cashflow!BV6+1,'Cost Data'!$A$66:$E$165,3,FALSE)+'Data Entry'!$B$61*VLOOKUP(Cashflow!BV6+1,'Cost Data'!$A$66:$E$165,4,FALSE)+SUM('Data Entry'!$B$62,'Data Entry'!$B$63,'Data Entry'!$B$65,'Data Entry'!$B$66,'Data Entry'!$B$67)*'Cost Data'!$C$45,0),0)</f>
        <v>0</v>
      </c>
      <c r="BW36" s="466">
        <f>IF('Data Entry'!$B$74="Yes",IF(BW6&lt;'Data Entry'!$B$12,'Data Entry'!$B$59*VLOOKUP(Cashflow!BW6+1,'Cost Data'!$A$66:$E$165,2,FALSE)+'Data Entry'!$B$60*VLOOKUP(Cashflow!BW6+1,'Cost Data'!$A$66:$E$165,3,FALSE)+'Data Entry'!$B$61*VLOOKUP(Cashflow!BW6+1,'Cost Data'!$A$66:$E$165,4,FALSE)+SUM('Data Entry'!$B$62,'Data Entry'!$B$63,'Data Entry'!$B$65,'Data Entry'!$B$66,'Data Entry'!$B$67)*'Cost Data'!$C$45,0),0)</f>
        <v>0</v>
      </c>
      <c r="BX36" s="466">
        <f>IF('Data Entry'!$B$74="Yes",IF(BX6&lt;'Data Entry'!$B$12,'Data Entry'!$B$59*VLOOKUP(Cashflow!BX6+1,'Cost Data'!$A$66:$E$165,2,FALSE)+'Data Entry'!$B$60*VLOOKUP(Cashflow!BX6+1,'Cost Data'!$A$66:$E$165,3,FALSE)+'Data Entry'!$B$61*VLOOKUP(Cashflow!BX6+1,'Cost Data'!$A$66:$E$165,4,FALSE)+SUM('Data Entry'!$B$62,'Data Entry'!$B$63,'Data Entry'!$B$65,'Data Entry'!$B$66,'Data Entry'!$B$67)*'Cost Data'!$C$45,0),0)</f>
        <v>0</v>
      </c>
      <c r="BY36" s="466">
        <f>IF('Data Entry'!$B$74="Yes",IF(BY6&lt;'Data Entry'!$B$12,'Data Entry'!$B$59*VLOOKUP(Cashflow!BY6+1,'Cost Data'!$A$66:$E$165,2,FALSE)+'Data Entry'!$B$60*VLOOKUP(Cashflow!BY6+1,'Cost Data'!$A$66:$E$165,3,FALSE)+'Data Entry'!$B$61*VLOOKUP(Cashflow!BY6+1,'Cost Data'!$A$66:$E$165,4,FALSE)+SUM('Data Entry'!$B$62,'Data Entry'!$B$63,'Data Entry'!$B$65,'Data Entry'!$B$66,'Data Entry'!$B$67)*'Cost Data'!$C$45,0),0)</f>
        <v>0</v>
      </c>
      <c r="BZ36" s="466">
        <f>IF('Data Entry'!$B$74="Yes",IF(BZ6&lt;'Data Entry'!$B$12,'Data Entry'!$B$59*VLOOKUP(Cashflow!BZ6+1,'Cost Data'!$A$66:$E$165,2,FALSE)+'Data Entry'!$B$60*VLOOKUP(Cashflow!BZ6+1,'Cost Data'!$A$66:$E$165,3,FALSE)+'Data Entry'!$B$61*VLOOKUP(Cashflow!BZ6+1,'Cost Data'!$A$66:$E$165,4,FALSE)+SUM('Data Entry'!$B$62,'Data Entry'!$B$63,'Data Entry'!$B$65,'Data Entry'!$B$66,'Data Entry'!$B$67)*'Cost Data'!$C$45,0),0)</f>
        <v>0</v>
      </c>
      <c r="CA36" s="467">
        <f>IF('Data Entry'!$B$74="Yes",IF(CA6&lt;'Data Entry'!$B$12,'Data Entry'!$B$59*VLOOKUP(Cashflow!CA6+1,'Cost Data'!$A$66:$E$165,2,FALSE)+'Data Entry'!$B$60*VLOOKUP(Cashflow!CA6+1,'Cost Data'!$A$66:$E$165,3,FALSE)+'Data Entry'!$B$61*VLOOKUP(Cashflow!CA6+1,'Cost Data'!$A$66:$E$165,4,FALSE)+SUM('Data Entry'!$B$62,'Data Entry'!$B$63,'Data Entry'!$B$65,'Data Entry'!$B$66,'Data Entry'!$B$67)*'Cost Data'!$C$45,0),0)</f>
        <v>0</v>
      </c>
      <c r="CB36" s="466">
        <f>IF('Data Entry'!$B$74="Yes",IF(CB6&lt;'Data Entry'!$B$12,'Data Entry'!$B$59*VLOOKUP(Cashflow!CB6+1,'Cost Data'!$A$66:$E$165,2,FALSE)+'Data Entry'!$B$60*VLOOKUP(Cashflow!CB6+1,'Cost Data'!$A$66:$E$165,3,FALSE)+'Data Entry'!$B$61*VLOOKUP(Cashflow!CB6+1,'Cost Data'!$A$66:$E$165,4,FALSE)+SUM('Data Entry'!$B$62,'Data Entry'!$B$63,'Data Entry'!$B$65,'Data Entry'!$B$66,'Data Entry'!$B$67)*'Cost Data'!$C$45,0),0)</f>
        <v>0</v>
      </c>
      <c r="CC36" s="466">
        <f>IF('Data Entry'!$B$74="Yes",IF(CC6&lt;'Data Entry'!$B$12,'Data Entry'!$B$59*VLOOKUP(Cashflow!CC6+1,'Cost Data'!$A$66:$E$165,2,FALSE)+'Data Entry'!$B$60*VLOOKUP(Cashflow!CC6+1,'Cost Data'!$A$66:$E$165,3,FALSE)+'Data Entry'!$B$61*VLOOKUP(Cashflow!CC6+1,'Cost Data'!$A$66:$E$165,4,FALSE)+SUM('Data Entry'!$B$62,'Data Entry'!$B$63,'Data Entry'!$B$65,'Data Entry'!$B$66,'Data Entry'!$B$67)*'Cost Data'!$C$45,0),0)</f>
        <v>0</v>
      </c>
      <c r="CD36" s="466">
        <f>IF('Data Entry'!$B$74="Yes",IF(CD6&lt;'Data Entry'!$B$12,'Data Entry'!$B$59*VLOOKUP(Cashflow!CD6+1,'Cost Data'!$A$66:$E$165,2,FALSE)+'Data Entry'!$B$60*VLOOKUP(Cashflow!CD6+1,'Cost Data'!$A$66:$E$165,3,FALSE)+'Data Entry'!$B$61*VLOOKUP(Cashflow!CD6+1,'Cost Data'!$A$66:$E$165,4,FALSE)+SUM('Data Entry'!$B$62,'Data Entry'!$B$63,'Data Entry'!$B$65,'Data Entry'!$B$66,'Data Entry'!$B$67)*'Cost Data'!$C$45,0),0)</f>
        <v>0</v>
      </c>
      <c r="CE36" s="466">
        <f>IF('Data Entry'!$B$74="Yes",IF(CE6&lt;'Data Entry'!$B$12,'Data Entry'!$B$59*VLOOKUP(Cashflow!CE6+1,'Cost Data'!$A$66:$E$165,2,FALSE)+'Data Entry'!$B$60*VLOOKUP(Cashflow!CE6+1,'Cost Data'!$A$66:$E$165,3,FALSE)+'Data Entry'!$B$61*VLOOKUP(Cashflow!CE6+1,'Cost Data'!$A$66:$E$165,4,FALSE)+SUM('Data Entry'!$B$62,'Data Entry'!$B$63,'Data Entry'!$B$65,'Data Entry'!$B$66,'Data Entry'!$B$67)*'Cost Data'!$C$45,0),0)</f>
        <v>0</v>
      </c>
      <c r="CF36" s="466">
        <f>IF('Data Entry'!$B$74="Yes",IF(CF6&lt;'Data Entry'!$B$12,'Data Entry'!$B$59*VLOOKUP(Cashflow!CF6+1,'Cost Data'!$A$66:$E$165,2,FALSE)+'Data Entry'!$B$60*VLOOKUP(Cashflow!CF6+1,'Cost Data'!$A$66:$E$165,3,FALSE)+'Data Entry'!$B$61*VLOOKUP(Cashflow!CF6+1,'Cost Data'!$A$66:$E$165,4,FALSE)+SUM('Data Entry'!$B$62,'Data Entry'!$B$63,'Data Entry'!$B$65,'Data Entry'!$B$66,'Data Entry'!$B$67)*'Cost Data'!$C$45,0),0)</f>
        <v>0</v>
      </c>
      <c r="CG36" s="466">
        <f>IF('Data Entry'!$B$74="Yes",IF(CG6&lt;'Data Entry'!$B$12,'Data Entry'!$B$59*VLOOKUP(Cashflow!CG6+1,'Cost Data'!$A$66:$E$165,2,FALSE)+'Data Entry'!$B$60*VLOOKUP(Cashflow!CG6+1,'Cost Data'!$A$66:$E$165,3,FALSE)+'Data Entry'!$B$61*VLOOKUP(Cashflow!CG6+1,'Cost Data'!$A$66:$E$165,4,FALSE)+SUM('Data Entry'!$B$62,'Data Entry'!$B$63,'Data Entry'!$B$65,'Data Entry'!$B$66,'Data Entry'!$B$67)*'Cost Data'!$C$45,0),0)</f>
        <v>0</v>
      </c>
      <c r="CH36" s="466">
        <f>IF('Data Entry'!$B$74="Yes",IF(CH6&lt;'Data Entry'!$B$12,'Data Entry'!$B$59*VLOOKUP(Cashflow!CH6+1,'Cost Data'!$A$66:$E$165,2,FALSE)+'Data Entry'!$B$60*VLOOKUP(Cashflow!CH6+1,'Cost Data'!$A$66:$E$165,3,FALSE)+'Data Entry'!$B$61*VLOOKUP(Cashflow!CH6+1,'Cost Data'!$A$66:$E$165,4,FALSE)+SUM('Data Entry'!$B$62,'Data Entry'!$B$63,'Data Entry'!$B$65,'Data Entry'!$B$66,'Data Entry'!$B$67)*'Cost Data'!$C$45,0),0)</f>
        <v>0</v>
      </c>
      <c r="CI36" s="466">
        <f>IF('Data Entry'!$B$74="Yes",IF(CI6&lt;'Data Entry'!$B$12,'Data Entry'!$B$59*VLOOKUP(Cashflow!CI6+1,'Cost Data'!$A$66:$E$165,2,FALSE)+'Data Entry'!$B$60*VLOOKUP(Cashflow!CI6+1,'Cost Data'!$A$66:$E$165,3,FALSE)+'Data Entry'!$B$61*VLOOKUP(Cashflow!CI6+1,'Cost Data'!$A$66:$E$165,4,FALSE)+SUM('Data Entry'!$B$62,'Data Entry'!$B$63,'Data Entry'!$B$65,'Data Entry'!$B$66,'Data Entry'!$B$67)*'Cost Data'!$C$45,0),0)</f>
        <v>0</v>
      </c>
      <c r="CJ36" s="466">
        <f>IF('Data Entry'!$B$74="Yes",IF(CJ6&lt;'Data Entry'!$B$12,'Data Entry'!$B$59*VLOOKUP(Cashflow!CJ6+1,'Cost Data'!$A$66:$E$165,2,FALSE)+'Data Entry'!$B$60*VLOOKUP(Cashflow!CJ6+1,'Cost Data'!$A$66:$E$165,3,FALSE)+'Data Entry'!$B$61*VLOOKUP(Cashflow!CJ6+1,'Cost Data'!$A$66:$E$165,4,FALSE)+SUM('Data Entry'!$B$62,'Data Entry'!$B$63,'Data Entry'!$B$65,'Data Entry'!$B$66,'Data Entry'!$B$67)*'Cost Data'!$C$45,0),0)</f>
        <v>0</v>
      </c>
      <c r="CK36" s="466">
        <f>IF('Data Entry'!$B$74="Yes",IF(CK6&lt;'Data Entry'!$B$12,'Data Entry'!$B$59*VLOOKUP(Cashflow!CK6+1,'Cost Data'!$A$66:$E$165,2,FALSE)+'Data Entry'!$B$60*VLOOKUP(Cashflow!CK6+1,'Cost Data'!$A$66:$E$165,3,FALSE)+'Data Entry'!$B$61*VLOOKUP(Cashflow!CK6+1,'Cost Data'!$A$66:$E$165,4,FALSE)+SUM('Data Entry'!$B$62,'Data Entry'!$B$63,'Data Entry'!$B$65,'Data Entry'!$B$66,'Data Entry'!$B$67)*'Cost Data'!$C$45,0),0)</f>
        <v>0</v>
      </c>
      <c r="CL36" s="466">
        <f>IF('Data Entry'!$B$74="Yes",IF(CL6&lt;'Data Entry'!$B$12,'Data Entry'!$B$59*VLOOKUP(Cashflow!CL6+1,'Cost Data'!$A$66:$E$165,2,FALSE)+'Data Entry'!$B$60*VLOOKUP(Cashflow!CL6+1,'Cost Data'!$A$66:$E$165,3,FALSE)+'Data Entry'!$B$61*VLOOKUP(Cashflow!CL6+1,'Cost Data'!$A$66:$E$165,4,FALSE)+SUM('Data Entry'!$B$62,'Data Entry'!$B$63,'Data Entry'!$B$65,'Data Entry'!$B$66,'Data Entry'!$B$67)*'Cost Data'!$C$45,0),0)</f>
        <v>0</v>
      </c>
      <c r="CM36" s="466">
        <f>IF('Data Entry'!$B$74="Yes",IF(CM6&lt;'Data Entry'!$B$12,'Data Entry'!$B$59*VLOOKUP(Cashflow!CM6+1,'Cost Data'!$A$66:$E$165,2,FALSE)+'Data Entry'!$B$60*VLOOKUP(Cashflow!CM6+1,'Cost Data'!$A$66:$E$165,3,FALSE)+'Data Entry'!$B$61*VLOOKUP(Cashflow!CM6+1,'Cost Data'!$A$66:$E$165,4,FALSE)+SUM('Data Entry'!$B$62,'Data Entry'!$B$63,'Data Entry'!$B$65,'Data Entry'!$B$66,'Data Entry'!$B$67)*'Cost Data'!$C$45,0),0)</f>
        <v>0</v>
      </c>
      <c r="CN36" s="466">
        <f>IF('Data Entry'!$B$74="Yes",IF(CN6&lt;'Data Entry'!$B$12,'Data Entry'!$B$59*VLOOKUP(Cashflow!CN6+1,'Cost Data'!$A$66:$E$165,2,FALSE)+'Data Entry'!$B$60*VLOOKUP(Cashflow!CN6+1,'Cost Data'!$A$66:$E$165,3,FALSE)+'Data Entry'!$B$61*VLOOKUP(Cashflow!CN6+1,'Cost Data'!$A$66:$E$165,4,FALSE)+SUM('Data Entry'!$B$62,'Data Entry'!$B$63,'Data Entry'!$B$65,'Data Entry'!$B$66,'Data Entry'!$B$67)*'Cost Data'!$C$45,0),0)</f>
        <v>0</v>
      </c>
      <c r="CO36" s="466">
        <f>IF('Data Entry'!$B$74="Yes",IF(CO6&lt;'Data Entry'!$B$12,'Data Entry'!$B$59*VLOOKUP(Cashflow!CO6+1,'Cost Data'!$A$66:$E$165,2,FALSE)+'Data Entry'!$B$60*VLOOKUP(Cashflow!CO6+1,'Cost Data'!$A$66:$E$165,3,FALSE)+'Data Entry'!$B$61*VLOOKUP(Cashflow!CO6+1,'Cost Data'!$A$66:$E$165,4,FALSE)+SUM('Data Entry'!$B$62,'Data Entry'!$B$63,'Data Entry'!$B$65,'Data Entry'!$B$66,'Data Entry'!$B$67)*'Cost Data'!$C$45,0),0)</f>
        <v>0</v>
      </c>
      <c r="CP36" s="466">
        <f>IF('Data Entry'!$B$74="Yes",IF(CP6&lt;'Data Entry'!$B$12,'Data Entry'!$B$59*VLOOKUP(Cashflow!CP6+1,'Cost Data'!$A$66:$E$165,2,FALSE)+'Data Entry'!$B$60*VLOOKUP(Cashflow!CP6+1,'Cost Data'!$A$66:$E$165,3,FALSE)+'Data Entry'!$B$61*VLOOKUP(Cashflow!CP6+1,'Cost Data'!$A$66:$E$165,4,FALSE)+SUM('Data Entry'!$B$62,'Data Entry'!$B$63,'Data Entry'!$B$65,'Data Entry'!$B$66,'Data Entry'!$B$67)*'Cost Data'!$C$45,0),0)</f>
        <v>0</v>
      </c>
      <c r="CQ36" s="466">
        <f>IF('Data Entry'!$B$74="Yes",IF(CQ6&lt;'Data Entry'!$B$12,'Data Entry'!$B$59*VLOOKUP(Cashflow!CQ6+1,'Cost Data'!$A$66:$E$165,2,FALSE)+'Data Entry'!$B$60*VLOOKUP(Cashflow!CQ6+1,'Cost Data'!$A$66:$E$165,3,FALSE)+'Data Entry'!$B$61*VLOOKUP(Cashflow!CQ6+1,'Cost Data'!$A$66:$E$165,4,FALSE)+SUM('Data Entry'!$B$62,'Data Entry'!$B$63,'Data Entry'!$B$65,'Data Entry'!$B$66,'Data Entry'!$B$67)*'Cost Data'!$C$45,0),0)</f>
        <v>0</v>
      </c>
      <c r="CR36" s="466">
        <f>IF('Data Entry'!$B$74="Yes",IF(CR6&lt;'Data Entry'!$B$12,'Data Entry'!$B$59*VLOOKUP(Cashflow!CR6+1,'Cost Data'!$A$66:$E$165,2,FALSE)+'Data Entry'!$B$60*VLOOKUP(Cashflow!CR6+1,'Cost Data'!$A$66:$E$165,3,FALSE)+'Data Entry'!$B$61*VLOOKUP(Cashflow!CR6+1,'Cost Data'!$A$66:$E$165,4,FALSE)+SUM('Data Entry'!$B$62,'Data Entry'!$B$63,'Data Entry'!$B$65,'Data Entry'!$B$66,'Data Entry'!$B$67)*'Cost Data'!$C$45,0),0)</f>
        <v>0</v>
      </c>
      <c r="CS36" s="466">
        <f>IF('Data Entry'!$B$74="Yes",IF(CS6&lt;'Data Entry'!$B$12,'Data Entry'!$B$59*VLOOKUP(Cashflow!CS6+1,'Cost Data'!$A$66:$E$165,2,FALSE)+'Data Entry'!$B$60*VLOOKUP(Cashflow!CS6+1,'Cost Data'!$A$66:$E$165,3,FALSE)+'Data Entry'!$B$61*VLOOKUP(Cashflow!CS6+1,'Cost Data'!$A$66:$E$165,4,FALSE)+SUM('Data Entry'!$B$62,'Data Entry'!$B$63,'Data Entry'!$B$65,'Data Entry'!$B$66,'Data Entry'!$B$67)*'Cost Data'!$C$45,0),0)</f>
        <v>0</v>
      </c>
      <c r="CT36" s="466">
        <f>IF('Data Entry'!$B$74="Yes",IF(CT6&lt;'Data Entry'!$B$12,'Data Entry'!$B$59*VLOOKUP(Cashflow!CT6+1,'Cost Data'!$A$66:$E$165,2,FALSE)+'Data Entry'!$B$60*VLOOKUP(Cashflow!CT6+1,'Cost Data'!$A$66:$E$165,3,FALSE)+'Data Entry'!$B$61*VLOOKUP(Cashflow!CT6+1,'Cost Data'!$A$66:$E$165,4,FALSE)+SUM('Data Entry'!$B$62,'Data Entry'!$B$63,'Data Entry'!$B$65,'Data Entry'!$B$66,'Data Entry'!$B$67)*'Cost Data'!$C$45,0),0)</f>
        <v>0</v>
      </c>
      <c r="CU36" s="466">
        <f>IF('Data Entry'!$B$74="Yes",IF(CU6&lt;'Data Entry'!$B$12,'Data Entry'!$B$59*VLOOKUP(Cashflow!CU6+1,'Cost Data'!$A$66:$E$165,2,FALSE)+'Data Entry'!$B$60*VLOOKUP(Cashflow!CU6+1,'Cost Data'!$A$66:$E$165,3,FALSE)+'Data Entry'!$B$61*VLOOKUP(Cashflow!CU6+1,'Cost Data'!$A$66:$E$165,4,FALSE)+SUM('Data Entry'!$B$62,'Data Entry'!$B$63,'Data Entry'!$B$65,'Data Entry'!$B$66,'Data Entry'!$B$67)*'Cost Data'!$C$45,0),0)</f>
        <v>0</v>
      </c>
      <c r="CV36" s="466">
        <f>IF('Data Entry'!$B$74="Yes",IF(CV6&lt;'Data Entry'!$B$12,'Data Entry'!$B$59*VLOOKUP(Cashflow!CV6+1,'Cost Data'!$A$66:$E$165,2,FALSE)+'Data Entry'!$B$60*VLOOKUP(Cashflow!CV6+1,'Cost Data'!$A$66:$E$165,3,FALSE)+'Data Entry'!$B$61*VLOOKUP(Cashflow!CV6+1,'Cost Data'!$A$66:$E$165,4,FALSE)+SUM('Data Entry'!$B$62,'Data Entry'!$B$63,'Data Entry'!$B$65,'Data Entry'!$B$66,'Data Entry'!$B$67)*'Cost Data'!$C$45,0),0)</f>
        <v>0</v>
      </c>
      <c r="CW36" s="466">
        <f>IF('Data Entry'!$B$74="Yes",IF(CW6&lt;'Data Entry'!$B$12,'Data Entry'!$B$59*VLOOKUP(Cashflow!CW6+1,'Cost Data'!$A$66:$E$165,2,FALSE)+'Data Entry'!$B$60*VLOOKUP(Cashflow!CW6+1,'Cost Data'!$A$66:$E$165,3,FALSE)+'Data Entry'!$B$61*VLOOKUP(Cashflow!CW6+1,'Cost Data'!$A$66:$E$165,4,FALSE)+SUM('Data Entry'!$B$62,'Data Entry'!$B$63,'Data Entry'!$B$65,'Data Entry'!$B$66,'Data Entry'!$B$67)*'Cost Data'!$C$45,0),0)</f>
        <v>0</v>
      </c>
      <c r="CX36" s="466">
        <f>IF('Data Entry'!$B$74="Yes",IF(CX6&lt;'Data Entry'!$B$12,'Data Entry'!$B$59*VLOOKUP(Cashflow!CX6+1,'Cost Data'!$A$66:$E$165,2,FALSE)+'Data Entry'!$B$60*VLOOKUP(Cashflow!CX6+1,'Cost Data'!$A$66:$E$165,3,FALSE)+'Data Entry'!$B$61*VLOOKUP(Cashflow!CX6+1,'Cost Data'!$A$66:$E$165,4,FALSE)+SUM('Data Entry'!$B$62,'Data Entry'!$B$63,'Data Entry'!$B$65,'Data Entry'!$B$66,'Data Entry'!$B$67)*'Cost Data'!$C$45,0),0)</f>
        <v>0</v>
      </c>
      <c r="CY36" s="466">
        <f>IF('Data Entry'!$B$74="Yes",IF(CY6&lt;'Data Entry'!$B$12,'Data Entry'!$B$59*VLOOKUP(Cashflow!CY6+1,'Cost Data'!$A$66:$E$165,2,FALSE)+'Data Entry'!$B$60*VLOOKUP(Cashflow!CY6+1,'Cost Data'!$A$66:$E$165,3,FALSE)+'Data Entry'!$B$61*VLOOKUP(Cashflow!CY6+1,'Cost Data'!$A$66:$E$165,4,FALSE)+SUM('Data Entry'!$B$62,'Data Entry'!$B$63,'Data Entry'!$B$65,'Data Entry'!$B$66,'Data Entry'!$B$67)*'Cost Data'!$C$45,0),0)</f>
        <v>0</v>
      </c>
    </row>
    <row r="37" spans="1:103" ht="15" customHeight="1" x14ac:dyDescent="0.2">
      <c r="A37" s="1064"/>
      <c r="B37" s="31" t="s">
        <v>136</v>
      </c>
      <c r="C37" s="269">
        <f>SUM(D37:CY37)</f>
        <v>0</v>
      </c>
      <c r="D37" s="466">
        <f>IF(D$6&lt;'Data Entry'!$B$12,'Data Entry'!$G$75,0)</f>
        <v>0</v>
      </c>
      <c r="E37" s="466">
        <f>IF(E$6&lt;'Data Entry'!$B$12,'Data Entry'!$G$75,0)</f>
        <v>0</v>
      </c>
      <c r="F37" s="466">
        <f>IF(F$6&lt;'Data Entry'!$B$12,'Data Entry'!$G$75,0)</f>
        <v>0</v>
      </c>
      <c r="G37" s="466">
        <f>IF(G$6&lt;'Data Entry'!$B$12,'Data Entry'!$G$75,0)</f>
        <v>0</v>
      </c>
      <c r="H37" s="466">
        <f>IF(H$6&lt;'Data Entry'!$B$12,'Data Entry'!$G$75,0)</f>
        <v>0</v>
      </c>
      <c r="I37" s="466">
        <f>IF(I$6&lt;'Data Entry'!$B$12,'Data Entry'!$G$75,0)</f>
        <v>0</v>
      </c>
      <c r="J37" s="466">
        <f>IF(J$6&lt;'Data Entry'!$B$12,'Data Entry'!$G$75,0)</f>
        <v>0</v>
      </c>
      <c r="K37" s="466">
        <f>IF(K$6&lt;'Data Entry'!$B$12,'Data Entry'!$G$75,0)</f>
        <v>0</v>
      </c>
      <c r="L37" s="466">
        <f>IF(L$6&lt;'Data Entry'!$B$12,'Data Entry'!$G$75,0)</f>
        <v>0</v>
      </c>
      <c r="M37" s="466">
        <f>IF(M$6&lt;'Data Entry'!$B$12,'Data Entry'!$G$75,0)</f>
        <v>0</v>
      </c>
      <c r="N37" s="466">
        <f>IF(N$6&lt;'Data Entry'!$B$12,'Data Entry'!$G$75,0)</f>
        <v>0</v>
      </c>
      <c r="O37" s="466">
        <f>IF(O$6&lt;'Data Entry'!$B$12,'Data Entry'!$G$75,0)</f>
        <v>0</v>
      </c>
      <c r="P37" s="466">
        <f>IF(P$6&lt;'Data Entry'!$B$12,'Data Entry'!$G$75,0)</f>
        <v>0</v>
      </c>
      <c r="Q37" s="466">
        <f>IF(Q$6&lt;'Data Entry'!$B$12,'Data Entry'!$G$75,0)</f>
        <v>0</v>
      </c>
      <c r="R37" s="466">
        <f>IF(R$6&lt;'Data Entry'!$B$12,'Data Entry'!$G$75,0)</f>
        <v>0</v>
      </c>
      <c r="S37" s="466">
        <f>IF(S$6&lt;'Data Entry'!$B$12,'Data Entry'!$G$75,0)</f>
        <v>0</v>
      </c>
      <c r="T37" s="466">
        <f>IF(T$6&lt;'Data Entry'!$B$12,'Data Entry'!$G$75,0)</f>
        <v>0</v>
      </c>
      <c r="U37" s="466">
        <f>IF(U$6&lt;'Data Entry'!$B$12,'Data Entry'!$G$75,0)</f>
        <v>0</v>
      </c>
      <c r="V37" s="466">
        <f>IF(V$6&lt;'Data Entry'!$B$12,'Data Entry'!$G$75,0)</f>
        <v>0</v>
      </c>
      <c r="W37" s="466">
        <f>IF(W$6&lt;'Data Entry'!$B$12,'Data Entry'!$G$75,0)</f>
        <v>0</v>
      </c>
      <c r="X37" s="466">
        <f>IF(X$6&lt;'Data Entry'!$B$12,'Data Entry'!$G$75,0)</f>
        <v>0</v>
      </c>
      <c r="Y37" s="466">
        <f>IF(Y$6&lt;'Data Entry'!$B$12,'Data Entry'!$G$75,0)</f>
        <v>0</v>
      </c>
      <c r="Z37" s="466">
        <f>IF(Z$6&lt;'Data Entry'!$B$12,'Data Entry'!$G$75,0)</f>
        <v>0</v>
      </c>
      <c r="AA37" s="466">
        <f>IF(AA$6&lt;'Data Entry'!$B$12,'Data Entry'!$G$75,0)</f>
        <v>0</v>
      </c>
      <c r="AB37" s="466">
        <f>IF(AB$6&lt;'Data Entry'!$B$12,'Data Entry'!$G$75,0)</f>
        <v>0</v>
      </c>
      <c r="AC37" s="466">
        <f>IF(AC$6&lt;'Data Entry'!$B$12,'Data Entry'!$G$75,0)</f>
        <v>0</v>
      </c>
      <c r="AD37" s="466">
        <f>IF(AD$6&lt;'Data Entry'!$B$12,'Data Entry'!$G$75,0)</f>
        <v>0</v>
      </c>
      <c r="AE37" s="466">
        <f>IF(AE$6&lt;'Data Entry'!$B$12,'Data Entry'!$G$75,0)</f>
        <v>0</v>
      </c>
      <c r="AF37" s="466">
        <f>IF(AF$6&lt;'Data Entry'!$B$12,'Data Entry'!$G$75,0)</f>
        <v>0</v>
      </c>
      <c r="AG37" s="466">
        <f>IF(AG$6&lt;'Data Entry'!$B$12,'Data Entry'!$G$75,0)</f>
        <v>0</v>
      </c>
      <c r="AH37" s="466">
        <f>IF(AH$6&lt;'Data Entry'!$B$12,'Data Entry'!$G$75,0)</f>
        <v>0</v>
      </c>
      <c r="AI37" s="466">
        <f>IF(AI$6&lt;'Data Entry'!$B$12,'Data Entry'!$G$75,0)</f>
        <v>0</v>
      </c>
      <c r="AJ37" s="466">
        <f>IF(AJ$6&lt;'Data Entry'!$B$12,'Data Entry'!$G$75,0)</f>
        <v>0</v>
      </c>
      <c r="AK37" s="466">
        <f>IF(AK$6&lt;'Data Entry'!$B$12,'Data Entry'!$G$75,0)</f>
        <v>0</v>
      </c>
      <c r="AL37" s="466">
        <f>IF(AL$6&lt;'Data Entry'!$B$12,'Data Entry'!$G$75,0)</f>
        <v>0</v>
      </c>
      <c r="AM37" s="466">
        <f>IF(AM$6&lt;'Data Entry'!$B$12,'Data Entry'!$G$75,0)</f>
        <v>0</v>
      </c>
      <c r="AN37" s="466">
        <f>IF(AN$6&lt;'Data Entry'!$B$12,'Data Entry'!$G$75,0)</f>
        <v>0</v>
      </c>
      <c r="AO37" s="467">
        <f>IF(AO$6&lt;'Data Entry'!$B$12,'Data Entry'!$G$75,0)</f>
        <v>0</v>
      </c>
      <c r="AP37" s="466">
        <f>IF(AP$6&lt;'Data Entry'!$B$12,'Data Entry'!$G$75,0)</f>
        <v>0</v>
      </c>
      <c r="AQ37" s="466">
        <f>IF(AQ$6&lt;'Data Entry'!$B$12,'Data Entry'!$G$75,0)</f>
        <v>0</v>
      </c>
      <c r="AR37" s="466">
        <f>IF(AR$6&lt;'Data Entry'!$B$12,'Data Entry'!$G$75,0)</f>
        <v>0</v>
      </c>
      <c r="AS37" s="466">
        <f>IF(AS$6&lt;'Data Entry'!$B$12,'Data Entry'!$G$75,0)</f>
        <v>0</v>
      </c>
      <c r="AT37" s="466">
        <f>IF(AT$6&lt;'Data Entry'!$B$12,'Data Entry'!$G$75,0)</f>
        <v>0</v>
      </c>
      <c r="AU37" s="466">
        <f>IF(AU$6&lt;'Data Entry'!$B$12,'Data Entry'!$G$75,0)</f>
        <v>0</v>
      </c>
      <c r="AV37" s="466">
        <f>IF(AV$6&lt;'Data Entry'!$B$12,'Data Entry'!$G$75,0)</f>
        <v>0</v>
      </c>
      <c r="AW37" s="466">
        <f>IF(AW$6&lt;'Data Entry'!$B$12,'Data Entry'!$G$75,0)</f>
        <v>0</v>
      </c>
      <c r="AX37" s="466">
        <f>IF(AX$6&lt;'Data Entry'!$B$12,'Data Entry'!$G$75,0)</f>
        <v>0</v>
      </c>
      <c r="AY37" s="466">
        <f>IF(AY$6&lt;'Data Entry'!$B$12,'Data Entry'!$G$75,0)</f>
        <v>0</v>
      </c>
      <c r="AZ37" s="466">
        <f>IF(AZ$6&lt;'Data Entry'!$B$12,'Data Entry'!$G$75,0)</f>
        <v>0</v>
      </c>
      <c r="BA37" s="466">
        <f>IF(BA$6&lt;'Data Entry'!$B$12,'Data Entry'!$G$75,0)</f>
        <v>0</v>
      </c>
      <c r="BB37" s="466">
        <f>IF(BB$6&lt;'Data Entry'!$B$12,'Data Entry'!$G$75,0)</f>
        <v>0</v>
      </c>
      <c r="BC37" s="466">
        <f>IF(BC$6&lt;'Data Entry'!$B$12,'Data Entry'!$G$75,0)</f>
        <v>0</v>
      </c>
      <c r="BD37" s="466">
        <f>IF(BD$6&lt;'Data Entry'!$B$12,'Data Entry'!$G$75,0)</f>
        <v>0</v>
      </c>
      <c r="BE37" s="466">
        <f>IF(BE$6&lt;'Data Entry'!$B$12,'Data Entry'!$G$75,0)</f>
        <v>0</v>
      </c>
      <c r="BF37" s="466">
        <f>IF(BF$6&lt;'Data Entry'!$B$12,'Data Entry'!$G$75,0)</f>
        <v>0</v>
      </c>
      <c r="BG37" s="466">
        <f>IF(BG$6&lt;'Data Entry'!$B$12,'Data Entry'!$G$75,0)</f>
        <v>0</v>
      </c>
      <c r="BH37" s="466">
        <f>IF(BH$6&lt;'Data Entry'!$B$12,'Data Entry'!$G$75,0)</f>
        <v>0</v>
      </c>
      <c r="BI37" s="466">
        <f>IF(BI$6&lt;'Data Entry'!$B$12,'Data Entry'!$G$75,0)</f>
        <v>0</v>
      </c>
      <c r="BJ37" s="466">
        <f>IF(BJ$6&lt;'Data Entry'!$B$12,'Data Entry'!$G$75,0)</f>
        <v>0</v>
      </c>
      <c r="BK37" s="467">
        <f>IF(BK$6&lt;'Data Entry'!$B$12,'Data Entry'!$G$75,0)</f>
        <v>0</v>
      </c>
      <c r="BL37" s="466">
        <f>IF(BL$6&lt;'Data Entry'!$B$12,'Data Entry'!$G$75,0)</f>
        <v>0</v>
      </c>
      <c r="BM37" s="466">
        <f>IF(BM$6&lt;'Data Entry'!$B$12,'Data Entry'!$G$75,0)</f>
        <v>0</v>
      </c>
      <c r="BN37" s="466">
        <f>IF(BN$6&lt;'Data Entry'!$B$12,'Data Entry'!$G$75,0)</f>
        <v>0</v>
      </c>
      <c r="BO37" s="466">
        <f>IF(BO$6&lt;'Data Entry'!$B$12,'Data Entry'!$G$75,0)</f>
        <v>0</v>
      </c>
      <c r="BP37" s="466">
        <f>IF(BP$6&lt;'Data Entry'!$B$12,'Data Entry'!$G$75,0)</f>
        <v>0</v>
      </c>
      <c r="BQ37" s="466">
        <f>IF(BQ$6&lt;'Data Entry'!$B$12,'Data Entry'!$G$75,0)</f>
        <v>0</v>
      </c>
      <c r="BR37" s="466">
        <f>IF(BR$6&lt;'Data Entry'!$B$12,'Data Entry'!$G$75,0)</f>
        <v>0</v>
      </c>
      <c r="BS37" s="466">
        <f>IF(BS$6&lt;'Data Entry'!$B$12,'Data Entry'!$G$75,0)</f>
        <v>0</v>
      </c>
      <c r="BT37" s="466">
        <f>IF(BT$6&lt;'Data Entry'!$B$12,'Data Entry'!$G$75,0)</f>
        <v>0</v>
      </c>
      <c r="BU37" s="466">
        <f>IF(BU$6&lt;'Data Entry'!$B$12,'Data Entry'!$G$75,0)</f>
        <v>0</v>
      </c>
      <c r="BV37" s="466">
        <f>IF(BV$6&lt;'Data Entry'!$B$12,'Data Entry'!$G$75,0)</f>
        <v>0</v>
      </c>
      <c r="BW37" s="466">
        <f>IF(BW$6&lt;'Data Entry'!$B$12,'Data Entry'!$G$75,0)</f>
        <v>0</v>
      </c>
      <c r="BX37" s="466">
        <f>IF(BX$6&lt;'Data Entry'!$B$12,'Data Entry'!$G$75,0)</f>
        <v>0</v>
      </c>
      <c r="BY37" s="466">
        <f>IF(BY$6&lt;'Data Entry'!$B$12,'Data Entry'!$G$75,0)</f>
        <v>0</v>
      </c>
      <c r="BZ37" s="466">
        <f>IF(BZ$6&lt;'Data Entry'!$B$12,'Data Entry'!$G$75,0)</f>
        <v>0</v>
      </c>
      <c r="CA37" s="467">
        <f>IF(CA$6&lt;'Data Entry'!$B$12,'Data Entry'!$G$75,0)</f>
        <v>0</v>
      </c>
      <c r="CB37" s="466">
        <f>IF(CB$6&lt;'Data Entry'!$B$12,'Data Entry'!$G$75,0)</f>
        <v>0</v>
      </c>
      <c r="CC37" s="466">
        <f>IF(CC$6&lt;'Data Entry'!$B$12,'Data Entry'!$G$75,0)</f>
        <v>0</v>
      </c>
      <c r="CD37" s="466">
        <f>IF(CD$6&lt;'Data Entry'!$B$12,'Data Entry'!$G$75,0)</f>
        <v>0</v>
      </c>
      <c r="CE37" s="466">
        <f>IF(CE$6&lt;'Data Entry'!$B$12,'Data Entry'!$G$75,0)</f>
        <v>0</v>
      </c>
      <c r="CF37" s="466">
        <f>IF(CF$6&lt;'Data Entry'!$B$12,'Data Entry'!$G$75,0)</f>
        <v>0</v>
      </c>
      <c r="CG37" s="466">
        <f>IF(CG$6&lt;'Data Entry'!$B$12,'Data Entry'!$G$75,0)</f>
        <v>0</v>
      </c>
      <c r="CH37" s="466">
        <f>IF(CH$6&lt;'Data Entry'!$B$12,'Data Entry'!$G$75,0)</f>
        <v>0</v>
      </c>
      <c r="CI37" s="466">
        <f>IF(CI$6&lt;'Data Entry'!$B$12,'Data Entry'!$G$75,0)</f>
        <v>0</v>
      </c>
      <c r="CJ37" s="466">
        <f>IF(CJ$6&lt;'Data Entry'!$B$12,'Data Entry'!$G$75,0)</f>
        <v>0</v>
      </c>
      <c r="CK37" s="466">
        <f>IF(CK$6&lt;'Data Entry'!$B$12,'Data Entry'!$G$75,0)</f>
        <v>0</v>
      </c>
      <c r="CL37" s="466">
        <f>IF(CL$6&lt;'Data Entry'!$B$12,'Data Entry'!$G$75,0)</f>
        <v>0</v>
      </c>
      <c r="CM37" s="466">
        <f>IF(CM$6&lt;'Data Entry'!$B$12,'Data Entry'!$G$75,0)</f>
        <v>0</v>
      </c>
      <c r="CN37" s="466">
        <f>IF(CN$6&lt;'Data Entry'!$B$12,'Data Entry'!$G$75,0)</f>
        <v>0</v>
      </c>
      <c r="CO37" s="466">
        <f>IF(CO$6&lt;'Data Entry'!$B$12,'Data Entry'!$G$75,0)</f>
        <v>0</v>
      </c>
      <c r="CP37" s="466">
        <f>IF(CP$6&lt;'Data Entry'!$B$12,'Data Entry'!$G$75,0)</f>
        <v>0</v>
      </c>
      <c r="CQ37" s="466">
        <f>IF(CQ$6&lt;'Data Entry'!$B$12,'Data Entry'!$G$75,0)</f>
        <v>0</v>
      </c>
      <c r="CR37" s="466">
        <f>IF(CR$6&lt;'Data Entry'!$B$12,'Data Entry'!$G$75,0)</f>
        <v>0</v>
      </c>
      <c r="CS37" s="466">
        <f>IF(CS$6&lt;'Data Entry'!$B$12,'Data Entry'!$G$75,0)</f>
        <v>0</v>
      </c>
      <c r="CT37" s="466">
        <f>IF(CT$6&lt;'Data Entry'!$B$12,'Data Entry'!$G$75,0)</f>
        <v>0</v>
      </c>
      <c r="CU37" s="466">
        <f>IF(CU$6&lt;'Data Entry'!$B$12,'Data Entry'!$G$75,0)</f>
        <v>0</v>
      </c>
      <c r="CV37" s="466">
        <f>IF(CV$6&lt;'Data Entry'!$B$12,'Data Entry'!$G$75,0)</f>
        <v>0</v>
      </c>
      <c r="CW37" s="466">
        <f>IF(CW$6&lt;'Data Entry'!$B$12,'Data Entry'!$G$75,0)</f>
        <v>0</v>
      </c>
      <c r="CX37" s="466">
        <f>IF(CX$6&lt;'Data Entry'!$B$12,'Data Entry'!$G$75,0)</f>
        <v>0</v>
      </c>
      <c r="CY37" s="466">
        <f>IF(CY$6&lt;'Data Entry'!$B$12,'Data Entry'!$G$75,0)</f>
        <v>0</v>
      </c>
    </row>
    <row r="38" spans="1:103" ht="15" customHeight="1" x14ac:dyDescent="0.2">
      <c r="A38" s="1065"/>
      <c r="B38" s="416" t="s">
        <v>528</v>
      </c>
      <c r="C38" s="269">
        <f>SUM(D38:CY38)</f>
        <v>0</v>
      </c>
      <c r="D38" s="459"/>
      <c r="E38" s="459"/>
      <c r="F38" s="459"/>
      <c r="G38" s="459"/>
      <c r="H38" s="459"/>
      <c r="I38" s="459"/>
      <c r="J38" s="459"/>
      <c r="K38" s="459"/>
      <c r="L38" s="459"/>
      <c r="M38" s="459"/>
      <c r="N38" s="459"/>
      <c r="O38" s="459"/>
      <c r="P38" s="459"/>
      <c r="Q38" s="459"/>
      <c r="R38" s="466">
        <f>'Data Entry'!G37</f>
        <v>0</v>
      </c>
      <c r="S38" s="459"/>
      <c r="T38" s="459"/>
      <c r="U38" s="459"/>
      <c r="V38" s="459"/>
      <c r="W38" s="459"/>
      <c r="X38" s="459"/>
      <c r="Y38" s="459"/>
      <c r="Z38" s="459"/>
      <c r="AA38" s="459"/>
      <c r="AB38" s="459"/>
      <c r="AC38" s="459"/>
      <c r="AD38" s="459"/>
      <c r="AE38" s="459"/>
      <c r="AF38" s="459"/>
      <c r="AG38" s="459"/>
      <c r="AH38" s="459"/>
      <c r="AI38" s="459"/>
      <c r="AJ38" s="459"/>
      <c r="AK38" s="459"/>
      <c r="AL38" s="459"/>
      <c r="AM38" s="459"/>
      <c r="AN38" s="459"/>
      <c r="AO38" s="460"/>
      <c r="AP38" s="459"/>
      <c r="AQ38" s="459"/>
      <c r="AR38" s="459"/>
      <c r="AS38" s="459"/>
      <c r="AT38" s="459"/>
      <c r="AU38" s="459"/>
      <c r="AV38" s="459"/>
      <c r="AW38" s="459"/>
      <c r="AX38" s="459"/>
      <c r="AY38" s="459"/>
      <c r="AZ38" s="459"/>
      <c r="BA38" s="459"/>
      <c r="BB38" s="459"/>
      <c r="BC38" s="459"/>
      <c r="BD38" s="459"/>
      <c r="BE38" s="459"/>
      <c r="BF38" s="459"/>
      <c r="BG38" s="459"/>
      <c r="BH38" s="459"/>
      <c r="BI38" s="459"/>
      <c r="BJ38" s="459"/>
      <c r="BK38" s="460"/>
      <c r="BL38" s="459"/>
      <c r="BM38" s="459"/>
      <c r="BN38" s="459"/>
      <c r="BO38" s="459"/>
      <c r="BP38" s="459"/>
      <c r="BQ38" s="459"/>
      <c r="BR38" s="459"/>
      <c r="BS38" s="459"/>
      <c r="BT38" s="459"/>
      <c r="BU38" s="459"/>
      <c r="BV38" s="459"/>
      <c r="BW38" s="459"/>
      <c r="BX38" s="459"/>
      <c r="BY38" s="459"/>
      <c r="BZ38" s="459"/>
      <c r="CA38" s="460"/>
      <c r="CB38" s="459"/>
      <c r="CC38" s="459"/>
      <c r="CD38" s="459"/>
      <c r="CE38" s="459"/>
      <c r="CF38" s="459"/>
      <c r="CG38" s="459"/>
      <c r="CH38" s="459"/>
      <c r="CI38" s="459"/>
      <c r="CJ38" s="459"/>
      <c r="CK38" s="459"/>
      <c r="CL38" s="459"/>
      <c r="CM38" s="459"/>
      <c r="CN38" s="459"/>
      <c r="CO38" s="459"/>
      <c r="CP38" s="459"/>
      <c r="CQ38" s="459"/>
      <c r="CR38" s="459"/>
      <c r="CS38" s="459"/>
      <c r="CT38" s="459"/>
      <c r="CU38" s="459"/>
      <c r="CV38" s="459"/>
      <c r="CW38" s="459"/>
      <c r="CX38" s="459"/>
      <c r="CY38" s="459"/>
    </row>
    <row r="39" spans="1:103" ht="15" customHeight="1" x14ac:dyDescent="0.2">
      <c r="A39" s="418" t="s">
        <v>4</v>
      </c>
      <c r="B39" s="419"/>
      <c r="C39" s="290">
        <f>SUM(C35:C38)</f>
        <v>0</v>
      </c>
      <c r="D39" s="417">
        <f>SUM(D35:D38)</f>
        <v>0</v>
      </c>
      <c r="E39" s="417">
        <f t="shared" ref="E39:AH39" si="5">SUM(E35:E38)</f>
        <v>0</v>
      </c>
      <c r="F39" s="417">
        <f t="shared" si="5"/>
        <v>0</v>
      </c>
      <c r="G39" s="417">
        <f t="shared" si="5"/>
        <v>0</v>
      </c>
      <c r="H39" s="417">
        <f t="shared" si="5"/>
        <v>0</v>
      </c>
      <c r="I39" s="417">
        <f t="shared" si="5"/>
        <v>0</v>
      </c>
      <c r="J39" s="417">
        <f t="shared" si="5"/>
        <v>0</v>
      </c>
      <c r="K39" s="417">
        <f t="shared" si="5"/>
        <v>0</v>
      </c>
      <c r="L39" s="417">
        <f t="shared" si="5"/>
        <v>0</v>
      </c>
      <c r="M39" s="417">
        <f t="shared" si="5"/>
        <v>0</v>
      </c>
      <c r="N39" s="417">
        <f t="shared" si="5"/>
        <v>0</v>
      </c>
      <c r="O39" s="417">
        <f t="shared" si="5"/>
        <v>0</v>
      </c>
      <c r="P39" s="417">
        <f t="shared" si="5"/>
        <v>0</v>
      </c>
      <c r="Q39" s="417">
        <f t="shared" si="5"/>
        <v>0</v>
      </c>
      <c r="R39" s="417">
        <f t="shared" si="5"/>
        <v>0</v>
      </c>
      <c r="S39" s="417">
        <f t="shared" si="5"/>
        <v>0</v>
      </c>
      <c r="T39" s="417">
        <f t="shared" si="5"/>
        <v>0</v>
      </c>
      <c r="U39" s="417">
        <f t="shared" si="5"/>
        <v>0</v>
      </c>
      <c r="V39" s="417">
        <f t="shared" si="5"/>
        <v>0</v>
      </c>
      <c r="W39" s="417">
        <f t="shared" si="5"/>
        <v>0</v>
      </c>
      <c r="X39" s="417">
        <f t="shared" si="5"/>
        <v>0</v>
      </c>
      <c r="Y39" s="417">
        <f t="shared" si="5"/>
        <v>0</v>
      </c>
      <c r="Z39" s="417">
        <f t="shared" si="5"/>
        <v>0</v>
      </c>
      <c r="AA39" s="417">
        <f t="shared" si="5"/>
        <v>0</v>
      </c>
      <c r="AB39" s="417">
        <f t="shared" si="5"/>
        <v>0</v>
      </c>
      <c r="AC39" s="417">
        <f t="shared" si="5"/>
        <v>0</v>
      </c>
      <c r="AD39" s="417">
        <f t="shared" si="5"/>
        <v>0</v>
      </c>
      <c r="AE39" s="417">
        <f t="shared" si="5"/>
        <v>0</v>
      </c>
      <c r="AF39" s="417">
        <f t="shared" si="5"/>
        <v>0</v>
      </c>
      <c r="AG39" s="417">
        <f t="shared" si="5"/>
        <v>0</v>
      </c>
      <c r="AH39" s="417">
        <f t="shared" si="5"/>
        <v>0</v>
      </c>
      <c r="AI39" s="417">
        <f t="shared" ref="AI39:BN39" si="6">SUM(AI35:AI38)</f>
        <v>0</v>
      </c>
      <c r="AJ39" s="417">
        <f t="shared" si="6"/>
        <v>0</v>
      </c>
      <c r="AK39" s="417">
        <f t="shared" si="6"/>
        <v>0</v>
      </c>
      <c r="AL39" s="417">
        <f t="shared" si="6"/>
        <v>0</v>
      </c>
      <c r="AM39" s="417">
        <f t="shared" si="6"/>
        <v>0</v>
      </c>
      <c r="AN39" s="417">
        <f t="shared" si="6"/>
        <v>0</v>
      </c>
      <c r="AO39" s="420">
        <f t="shared" si="6"/>
        <v>0</v>
      </c>
      <c r="AP39" s="417">
        <f t="shared" si="6"/>
        <v>0</v>
      </c>
      <c r="AQ39" s="417">
        <f t="shared" si="6"/>
        <v>0</v>
      </c>
      <c r="AR39" s="417">
        <f t="shared" si="6"/>
        <v>0</v>
      </c>
      <c r="AS39" s="417">
        <f t="shared" si="6"/>
        <v>0</v>
      </c>
      <c r="AT39" s="417">
        <f t="shared" si="6"/>
        <v>0</v>
      </c>
      <c r="AU39" s="417">
        <f t="shared" si="6"/>
        <v>0</v>
      </c>
      <c r="AV39" s="417">
        <f t="shared" si="6"/>
        <v>0</v>
      </c>
      <c r="AW39" s="417">
        <f t="shared" si="6"/>
        <v>0</v>
      </c>
      <c r="AX39" s="417">
        <f t="shared" si="6"/>
        <v>0</v>
      </c>
      <c r="AY39" s="417">
        <f t="shared" si="6"/>
        <v>0</v>
      </c>
      <c r="AZ39" s="417">
        <f t="shared" si="6"/>
        <v>0</v>
      </c>
      <c r="BA39" s="417">
        <f t="shared" si="6"/>
        <v>0</v>
      </c>
      <c r="BB39" s="417">
        <f t="shared" si="6"/>
        <v>0</v>
      </c>
      <c r="BC39" s="417">
        <f t="shared" si="6"/>
        <v>0</v>
      </c>
      <c r="BD39" s="417">
        <f t="shared" si="6"/>
        <v>0</v>
      </c>
      <c r="BE39" s="417">
        <f t="shared" si="6"/>
        <v>0</v>
      </c>
      <c r="BF39" s="417">
        <f t="shared" si="6"/>
        <v>0</v>
      </c>
      <c r="BG39" s="417">
        <f t="shared" si="6"/>
        <v>0</v>
      </c>
      <c r="BH39" s="417">
        <f t="shared" si="6"/>
        <v>0</v>
      </c>
      <c r="BI39" s="417">
        <f t="shared" si="6"/>
        <v>0</v>
      </c>
      <c r="BJ39" s="417">
        <f t="shared" si="6"/>
        <v>0</v>
      </c>
      <c r="BK39" s="420">
        <f t="shared" si="6"/>
        <v>0</v>
      </c>
      <c r="BL39" s="417">
        <f t="shared" si="6"/>
        <v>0</v>
      </c>
      <c r="BM39" s="417">
        <f t="shared" si="6"/>
        <v>0</v>
      </c>
      <c r="BN39" s="417">
        <f t="shared" si="6"/>
        <v>0</v>
      </c>
      <c r="BO39" s="417">
        <f t="shared" ref="BO39:CT39" si="7">SUM(BO35:BO38)</f>
        <v>0</v>
      </c>
      <c r="BP39" s="417">
        <f t="shared" si="7"/>
        <v>0</v>
      </c>
      <c r="BQ39" s="417">
        <f t="shared" si="7"/>
        <v>0</v>
      </c>
      <c r="BR39" s="417">
        <f t="shared" si="7"/>
        <v>0</v>
      </c>
      <c r="BS39" s="417">
        <f t="shared" si="7"/>
        <v>0</v>
      </c>
      <c r="BT39" s="417">
        <f t="shared" si="7"/>
        <v>0</v>
      </c>
      <c r="BU39" s="417">
        <f t="shared" si="7"/>
        <v>0</v>
      </c>
      <c r="BV39" s="417">
        <f t="shared" si="7"/>
        <v>0</v>
      </c>
      <c r="BW39" s="417">
        <f t="shared" si="7"/>
        <v>0</v>
      </c>
      <c r="BX39" s="417">
        <f t="shared" si="7"/>
        <v>0</v>
      </c>
      <c r="BY39" s="417">
        <f t="shared" si="7"/>
        <v>0</v>
      </c>
      <c r="BZ39" s="417">
        <f t="shared" si="7"/>
        <v>0</v>
      </c>
      <c r="CA39" s="420">
        <f t="shared" si="7"/>
        <v>0</v>
      </c>
      <c r="CB39" s="417">
        <f t="shared" si="7"/>
        <v>0</v>
      </c>
      <c r="CC39" s="417">
        <f t="shared" si="7"/>
        <v>0</v>
      </c>
      <c r="CD39" s="417">
        <f t="shared" si="7"/>
        <v>0</v>
      </c>
      <c r="CE39" s="417">
        <f t="shared" si="7"/>
        <v>0</v>
      </c>
      <c r="CF39" s="417">
        <f t="shared" si="7"/>
        <v>0</v>
      </c>
      <c r="CG39" s="417">
        <f t="shared" si="7"/>
        <v>0</v>
      </c>
      <c r="CH39" s="417">
        <f t="shared" si="7"/>
        <v>0</v>
      </c>
      <c r="CI39" s="417">
        <f t="shared" si="7"/>
        <v>0</v>
      </c>
      <c r="CJ39" s="417">
        <f t="shared" si="7"/>
        <v>0</v>
      </c>
      <c r="CK39" s="417">
        <f t="shared" si="7"/>
        <v>0</v>
      </c>
      <c r="CL39" s="417">
        <f t="shared" si="7"/>
        <v>0</v>
      </c>
      <c r="CM39" s="417">
        <f t="shared" si="7"/>
        <v>0</v>
      </c>
      <c r="CN39" s="417">
        <f t="shared" si="7"/>
        <v>0</v>
      </c>
      <c r="CO39" s="417">
        <f t="shared" si="7"/>
        <v>0</v>
      </c>
      <c r="CP39" s="417">
        <f t="shared" si="7"/>
        <v>0</v>
      </c>
      <c r="CQ39" s="417">
        <f t="shared" si="7"/>
        <v>0</v>
      </c>
      <c r="CR39" s="417">
        <f t="shared" si="7"/>
        <v>0</v>
      </c>
      <c r="CS39" s="417">
        <f t="shared" si="7"/>
        <v>0</v>
      </c>
      <c r="CT39" s="417">
        <f t="shared" si="7"/>
        <v>0</v>
      </c>
      <c r="CU39" s="417">
        <f>SUM(CU35:CU38)</f>
        <v>0</v>
      </c>
      <c r="CV39" s="417">
        <f>SUM(CV35:CV38)</f>
        <v>0</v>
      </c>
      <c r="CW39" s="417">
        <f>SUM(CW35:CW38)</f>
        <v>0</v>
      </c>
      <c r="CX39" s="417">
        <f>SUM(CX35:CX38)</f>
        <v>0</v>
      </c>
      <c r="CY39" s="417">
        <f>SUM(CY35:CY38)</f>
        <v>0</v>
      </c>
    </row>
    <row r="40" spans="1:103" ht="15" customHeight="1" x14ac:dyDescent="0.2">
      <c r="A40" s="1066" t="s">
        <v>529</v>
      </c>
      <c r="B40" s="31" t="s">
        <v>70</v>
      </c>
      <c r="C40" s="269">
        <f ca="1">SUM(D40:CY40)</f>
        <v>0</v>
      </c>
      <c r="D40" s="177">
        <f ca="1">IFERROR(VLOOKUP(0,INDIRECT('Lookup Tables'!$K$4),2,FALSE),0)</f>
        <v>0</v>
      </c>
      <c r="E40" s="177">
        <f ca="1">IFERROR(VLOOKUP(E6+1,INDIRECT('Lookup Tables'!$K$4),3,FALSE),0)</f>
        <v>0</v>
      </c>
      <c r="F40" s="177">
        <f ca="1">IFERROR(VLOOKUP(F6+1,INDIRECT('Lookup Tables'!$K$4),3,FALSE),0)</f>
        <v>0</v>
      </c>
      <c r="G40" s="177">
        <f ca="1">IFERROR(VLOOKUP(G6+1,INDIRECT('Lookup Tables'!$K$4),3,FALSE),0)</f>
        <v>0</v>
      </c>
      <c r="H40" s="177">
        <f ca="1">IFERROR(VLOOKUP(H6+1,INDIRECT('Lookup Tables'!$K$4),3,FALSE),0)</f>
        <v>0</v>
      </c>
      <c r="I40" s="177">
        <f ca="1">IFERROR(VLOOKUP(I6+1,INDIRECT('Lookup Tables'!$K$4),3,FALSE),0)</f>
        <v>0</v>
      </c>
      <c r="J40" s="177">
        <f ca="1">IFERROR(VLOOKUP(J6+1,INDIRECT('Lookup Tables'!$K$4),3,FALSE),0)</f>
        <v>0</v>
      </c>
      <c r="K40" s="177">
        <f ca="1">IFERROR(VLOOKUP(K6+1,INDIRECT('Lookup Tables'!$K$4),3,FALSE),0)</f>
        <v>0</v>
      </c>
      <c r="L40" s="177">
        <f ca="1">IFERROR(VLOOKUP(L6+1,INDIRECT('Lookup Tables'!$K$4),3,FALSE),0)</f>
        <v>0</v>
      </c>
      <c r="M40" s="177">
        <f ca="1">IFERROR(VLOOKUP(M6+1,INDIRECT('Lookup Tables'!$K$4),3,FALSE),0)</f>
        <v>0</v>
      </c>
      <c r="N40" s="177">
        <f ca="1">IFERROR(VLOOKUP(N6+1,INDIRECT('Lookup Tables'!$K$4),3,FALSE),0)</f>
        <v>0</v>
      </c>
      <c r="O40" s="177">
        <f ca="1">IFERROR(VLOOKUP(O6+1,INDIRECT('Lookup Tables'!$K$4),3,FALSE),0)</f>
        <v>0</v>
      </c>
      <c r="P40" s="177">
        <f ca="1">IFERROR(VLOOKUP(P6+1,INDIRECT('Lookup Tables'!$K$4),3,FALSE),0)</f>
        <v>0</v>
      </c>
      <c r="Q40" s="177">
        <f ca="1">IFERROR(VLOOKUP(Q6+1,INDIRECT('Lookup Tables'!$K$4),3,FALSE),0)</f>
        <v>0</v>
      </c>
      <c r="R40" s="177">
        <f ca="1">IFERROR(VLOOKUP(R6+1,INDIRECT('Lookup Tables'!$K$4),3,FALSE),0)</f>
        <v>0</v>
      </c>
      <c r="S40" s="177">
        <f ca="1">IFERROR(VLOOKUP(S6+1,INDIRECT('Lookup Tables'!$K$4),3,FALSE),0)</f>
        <v>0</v>
      </c>
      <c r="T40" s="177">
        <f ca="1">IFERROR(VLOOKUP(T6+1,INDIRECT('Lookup Tables'!$K$4),3,FALSE),0)</f>
        <v>0</v>
      </c>
      <c r="U40" s="177">
        <f ca="1">IFERROR(VLOOKUP(U6+1,INDIRECT('Lookup Tables'!$K$4),3,FALSE),0)</f>
        <v>0</v>
      </c>
      <c r="V40" s="177">
        <f ca="1">IFERROR(VLOOKUP(V6+1,INDIRECT('Lookup Tables'!$K$4),3,FALSE),0)</f>
        <v>0</v>
      </c>
      <c r="W40" s="177">
        <f ca="1">IFERROR(VLOOKUP(W6+1,INDIRECT('Lookup Tables'!$K$4),3,FALSE),0)</f>
        <v>0</v>
      </c>
      <c r="X40" s="177">
        <f ca="1">IFERROR(VLOOKUP(X6+1,INDIRECT('Lookup Tables'!$K$4),3,FALSE),0)</f>
        <v>0</v>
      </c>
      <c r="Y40" s="177">
        <f ca="1">IFERROR(VLOOKUP(Y6+1,INDIRECT('Lookup Tables'!$K$4),3,FALSE),0)</f>
        <v>0</v>
      </c>
      <c r="Z40" s="177">
        <f ca="1">IFERROR(VLOOKUP(Z6+1,INDIRECT('Lookup Tables'!$K$4),3,FALSE),0)</f>
        <v>0</v>
      </c>
      <c r="AA40" s="177">
        <f ca="1">IFERROR(VLOOKUP(AA6+1,INDIRECT('Lookup Tables'!$K$4),3,FALSE),0)</f>
        <v>0</v>
      </c>
      <c r="AB40" s="177">
        <f ca="1">IFERROR(VLOOKUP(AB6+1,INDIRECT('Lookup Tables'!$K$4),3,FALSE),0)</f>
        <v>0</v>
      </c>
      <c r="AC40" s="177">
        <f ca="1">IFERROR(VLOOKUP(AC6+1,INDIRECT('Lookup Tables'!$K$4),3,FALSE),0)</f>
        <v>0</v>
      </c>
      <c r="AD40" s="177">
        <f ca="1">IFERROR(VLOOKUP(AD6+1,INDIRECT('Lookup Tables'!$K$4),3,FALSE),0)</f>
        <v>0</v>
      </c>
      <c r="AE40" s="177">
        <f ca="1">IFERROR(VLOOKUP(AE6+1,INDIRECT('Lookup Tables'!$K$4),3,FALSE),0)</f>
        <v>0</v>
      </c>
      <c r="AF40" s="177">
        <f ca="1">IFERROR(VLOOKUP(AF6+1,INDIRECT('Lookup Tables'!$K$4),3,FALSE),0)</f>
        <v>0</v>
      </c>
      <c r="AG40" s="177">
        <f ca="1">IFERROR(VLOOKUP(AG6+1,INDIRECT('Lookup Tables'!$K$4),3,FALSE),0)</f>
        <v>0</v>
      </c>
      <c r="AH40" s="177">
        <f ca="1">IFERROR(VLOOKUP(AH6+1,INDIRECT('Lookup Tables'!$K$4),3,FALSE),0)</f>
        <v>0</v>
      </c>
      <c r="AI40" s="177">
        <f ca="1">IFERROR(VLOOKUP(AI6+1,INDIRECT('Lookup Tables'!$K$4),3,FALSE),0)</f>
        <v>0</v>
      </c>
      <c r="AJ40" s="177">
        <f ca="1">IFERROR(VLOOKUP(AJ6+1,INDIRECT('Lookup Tables'!$K$4),3,FALSE),0)</f>
        <v>0</v>
      </c>
      <c r="AK40" s="177">
        <f ca="1">IFERROR(VLOOKUP(AK6+1,INDIRECT('Lookup Tables'!$K$4),3,FALSE),0)</f>
        <v>0</v>
      </c>
      <c r="AL40" s="177">
        <f ca="1">IFERROR(VLOOKUP(AL6+1,INDIRECT('Lookup Tables'!$K$4),3,FALSE),0)</f>
        <v>0</v>
      </c>
      <c r="AM40" s="177">
        <f ca="1">IFERROR(VLOOKUP(AM6+1,INDIRECT('Lookup Tables'!$K$4),3,FALSE),0)</f>
        <v>0</v>
      </c>
      <c r="AN40" s="177">
        <f ca="1">IFERROR(VLOOKUP(AN6+1,INDIRECT('Lookup Tables'!$K$4),3,FALSE),0)</f>
        <v>0</v>
      </c>
      <c r="AO40" s="445">
        <f ca="1">IFERROR(VLOOKUP(AO6+1,INDIRECT('Lookup Tables'!$K$4),3,FALSE),0)</f>
        <v>0</v>
      </c>
      <c r="AP40" s="177">
        <f ca="1">IFERROR(VLOOKUP(AP6+1,INDIRECT('Lookup Tables'!$K$4),3,FALSE),0)</f>
        <v>0</v>
      </c>
      <c r="AQ40" s="177">
        <f ca="1">IFERROR(VLOOKUP(AQ6+1,INDIRECT('Lookup Tables'!$K$4),3,FALSE),0)</f>
        <v>0</v>
      </c>
      <c r="AR40" s="177">
        <f ca="1">IFERROR(VLOOKUP(AR6+1,INDIRECT('Lookup Tables'!$K$4),3,FALSE),0)</f>
        <v>0</v>
      </c>
      <c r="AS40" s="177">
        <f ca="1">IFERROR(VLOOKUP(AS6+1,INDIRECT('Lookup Tables'!$K$4),3,FALSE),0)</f>
        <v>0</v>
      </c>
      <c r="AT40" s="177">
        <f ca="1">IFERROR(VLOOKUP(AT6+1,INDIRECT('Lookup Tables'!$K$4),3,FALSE),0)</f>
        <v>0</v>
      </c>
      <c r="AU40" s="177">
        <f ca="1">IFERROR(VLOOKUP(AU6+1,INDIRECT('Lookup Tables'!$K$4),3,FALSE),0)</f>
        <v>0</v>
      </c>
      <c r="AV40" s="177">
        <f ca="1">IFERROR(VLOOKUP(AV6+1,INDIRECT('Lookup Tables'!$K$4),3,FALSE),0)</f>
        <v>0</v>
      </c>
      <c r="AW40" s="177">
        <f ca="1">IFERROR(VLOOKUP(AW6+1,INDIRECT('Lookup Tables'!$K$4),3,FALSE),0)</f>
        <v>0</v>
      </c>
      <c r="AX40" s="177">
        <f ca="1">IFERROR(VLOOKUP(AX6+1,INDIRECT('Lookup Tables'!$K$4),3,FALSE),0)</f>
        <v>0</v>
      </c>
      <c r="AY40" s="177">
        <f ca="1">IFERROR(VLOOKUP(AY6+1,INDIRECT('Lookup Tables'!$K$4),3,FALSE),0)</f>
        <v>0</v>
      </c>
      <c r="AZ40" s="177">
        <f ca="1">IFERROR(VLOOKUP(AZ6+1,INDIRECT('Lookup Tables'!$K$4),3,FALSE),0)</f>
        <v>0</v>
      </c>
      <c r="BA40" s="177">
        <f ca="1">IFERROR(VLOOKUP(BA6+1,INDIRECT('Lookup Tables'!$K$4),3,FALSE),0)</f>
        <v>0</v>
      </c>
      <c r="BB40" s="177">
        <f ca="1">IFERROR(VLOOKUP(BB6+1,INDIRECT('Lookup Tables'!$K$4),3,FALSE),0)</f>
        <v>0</v>
      </c>
      <c r="BC40" s="177">
        <f ca="1">IFERROR(VLOOKUP(BC6+1,INDIRECT('Lookup Tables'!$K$4),3,FALSE),0)</f>
        <v>0</v>
      </c>
      <c r="BD40" s="177">
        <f ca="1">IFERROR(VLOOKUP(BD6+1,INDIRECT('Lookup Tables'!$K$4),3,FALSE),0)</f>
        <v>0</v>
      </c>
      <c r="BE40" s="177">
        <f ca="1">IFERROR(VLOOKUP(BE6+1,INDIRECT('Lookup Tables'!$K$4),3,FALSE),0)</f>
        <v>0</v>
      </c>
      <c r="BF40" s="177">
        <f ca="1">IFERROR(VLOOKUP(BF6+1,INDIRECT('Lookup Tables'!$K$4),3,FALSE),0)</f>
        <v>0</v>
      </c>
      <c r="BG40" s="177">
        <f ca="1">IFERROR(VLOOKUP(BG6+1,INDIRECT('Lookup Tables'!$K$4),3,FALSE),0)</f>
        <v>0</v>
      </c>
      <c r="BH40" s="177">
        <f ca="1">IFERROR(VLOOKUP(BH6+1,INDIRECT('Lookup Tables'!$K$4),3,FALSE),0)</f>
        <v>0</v>
      </c>
      <c r="BI40" s="177">
        <f ca="1">IFERROR(VLOOKUP(BI6+1,INDIRECT('Lookup Tables'!$K$4),3,FALSE),0)</f>
        <v>0</v>
      </c>
      <c r="BJ40" s="177">
        <f ca="1">IFERROR(VLOOKUP(BJ6+1,INDIRECT('Lookup Tables'!$K$4),3,FALSE),0)</f>
        <v>0</v>
      </c>
      <c r="BK40" s="445">
        <f ca="1">IFERROR(VLOOKUP(BK6+1,INDIRECT('Lookup Tables'!$K$4),3,FALSE),0)</f>
        <v>0</v>
      </c>
      <c r="BL40" s="177">
        <f ca="1">IFERROR(VLOOKUP(BL6+1,INDIRECT('Lookup Tables'!$K$4),3,FALSE),0)</f>
        <v>0</v>
      </c>
      <c r="BM40" s="177">
        <f ca="1">IFERROR(VLOOKUP(BM6+1,INDIRECT('Lookup Tables'!$K$4),3,FALSE),0)</f>
        <v>0</v>
      </c>
      <c r="BN40" s="177">
        <f ca="1">IFERROR(VLOOKUP(BN6+1,INDIRECT('Lookup Tables'!$K$4),3,FALSE),0)</f>
        <v>0</v>
      </c>
      <c r="BO40" s="177">
        <f ca="1">IFERROR(VLOOKUP(BO6+1,INDIRECT('Lookup Tables'!$K$4),3,FALSE),0)</f>
        <v>0</v>
      </c>
      <c r="BP40" s="177">
        <f ca="1">IFERROR(VLOOKUP(BP6+1,INDIRECT('Lookup Tables'!$K$4),3,FALSE),0)</f>
        <v>0</v>
      </c>
      <c r="BQ40" s="177">
        <f ca="1">IFERROR(VLOOKUP(BQ6+1,INDIRECT('Lookup Tables'!$K$4),3,FALSE),0)</f>
        <v>0</v>
      </c>
      <c r="BR40" s="177">
        <f ca="1">IFERROR(VLOOKUP(BR6+1,INDIRECT('Lookup Tables'!$K$4),3,FALSE),0)</f>
        <v>0</v>
      </c>
      <c r="BS40" s="177">
        <f ca="1">IFERROR(VLOOKUP(BS6+1,INDIRECT('Lookup Tables'!$K$4),3,FALSE),0)</f>
        <v>0</v>
      </c>
      <c r="BT40" s="177">
        <f ca="1">IFERROR(VLOOKUP(BT6+1,INDIRECT('Lookup Tables'!$K$4),3,FALSE),0)</f>
        <v>0</v>
      </c>
      <c r="BU40" s="177">
        <f ca="1">IFERROR(VLOOKUP(BU6+1,INDIRECT('Lookup Tables'!$K$4),3,FALSE),0)</f>
        <v>0</v>
      </c>
      <c r="BV40" s="177">
        <f ca="1">IFERROR(VLOOKUP(BV6+1,INDIRECT('Lookup Tables'!$K$4),3,FALSE),0)</f>
        <v>0</v>
      </c>
      <c r="BW40" s="177">
        <f ca="1">IFERROR(VLOOKUP(BW6+1,INDIRECT('Lookup Tables'!$K$4),3,FALSE),0)</f>
        <v>0</v>
      </c>
      <c r="BX40" s="177">
        <f ca="1">IFERROR(VLOOKUP(BX6+1,INDIRECT('Lookup Tables'!$K$4),3,FALSE),0)</f>
        <v>0</v>
      </c>
      <c r="BY40" s="177">
        <f ca="1">IFERROR(VLOOKUP(BY6+1,INDIRECT('Lookup Tables'!$K$4),3,FALSE),0)</f>
        <v>0</v>
      </c>
      <c r="BZ40" s="177">
        <f ca="1">IFERROR(VLOOKUP(BZ6+1,INDIRECT('Lookup Tables'!$K$4),3,FALSE),0)</f>
        <v>0</v>
      </c>
      <c r="CA40" s="445">
        <f ca="1">IFERROR(VLOOKUP(CA6+1,INDIRECT('Lookup Tables'!$K$4),3,FALSE),0)</f>
        <v>0</v>
      </c>
      <c r="CB40" s="177">
        <f ca="1">IFERROR(VLOOKUP(CB6+1,INDIRECT('Lookup Tables'!$K$4),3,FALSE),0)</f>
        <v>0</v>
      </c>
      <c r="CC40" s="177">
        <f ca="1">IFERROR(VLOOKUP(CC6+1,INDIRECT('Lookup Tables'!$K$4),3,FALSE),0)</f>
        <v>0</v>
      </c>
      <c r="CD40" s="177">
        <f ca="1">IFERROR(VLOOKUP(CD6+1,INDIRECT('Lookup Tables'!$K$4),3,FALSE),0)</f>
        <v>0</v>
      </c>
      <c r="CE40" s="177">
        <f ca="1">IFERROR(VLOOKUP(CE6+1,INDIRECT('Lookup Tables'!$K$4),3,FALSE),0)</f>
        <v>0</v>
      </c>
      <c r="CF40" s="177">
        <f ca="1">IFERROR(VLOOKUP(CF6+1,INDIRECT('Lookup Tables'!$K$4),3,FALSE),0)</f>
        <v>0</v>
      </c>
      <c r="CG40" s="177">
        <f ca="1">IFERROR(VLOOKUP(CG6+1,INDIRECT('Lookup Tables'!$K$4),3,FALSE),0)</f>
        <v>0</v>
      </c>
      <c r="CH40" s="177">
        <f ca="1">IFERROR(VLOOKUP(CH6+1,INDIRECT('Lookup Tables'!$K$4),3,FALSE),0)</f>
        <v>0</v>
      </c>
      <c r="CI40" s="177">
        <f ca="1">IFERROR(VLOOKUP(CI6+1,INDIRECT('Lookup Tables'!$K$4),3,FALSE),0)</f>
        <v>0</v>
      </c>
      <c r="CJ40" s="177">
        <f ca="1">IFERROR(VLOOKUP(CJ6+1,INDIRECT('Lookup Tables'!$K$4),3,FALSE),0)</f>
        <v>0</v>
      </c>
      <c r="CK40" s="177">
        <f ca="1">IFERROR(VLOOKUP(CK6+1,INDIRECT('Lookup Tables'!$K$4),3,FALSE),0)</f>
        <v>0</v>
      </c>
      <c r="CL40" s="177">
        <f ca="1">IFERROR(VLOOKUP(CL6+1,INDIRECT('Lookup Tables'!$K$4),3,FALSE),0)</f>
        <v>0</v>
      </c>
      <c r="CM40" s="177">
        <f ca="1">IFERROR(VLOOKUP(CM6+1,INDIRECT('Lookup Tables'!$K$4),3,FALSE),0)</f>
        <v>0</v>
      </c>
      <c r="CN40" s="177">
        <f ca="1">IFERROR(VLOOKUP(CN6+1,INDIRECT('Lookup Tables'!$K$4),3,FALSE),0)</f>
        <v>0</v>
      </c>
      <c r="CO40" s="177">
        <f ca="1">IFERROR(VLOOKUP(CO6+1,INDIRECT('Lookup Tables'!$K$4),3,FALSE),0)</f>
        <v>0</v>
      </c>
      <c r="CP40" s="177">
        <f ca="1">IFERROR(VLOOKUP(CP6+1,INDIRECT('Lookup Tables'!$K$4),3,FALSE),0)</f>
        <v>0</v>
      </c>
      <c r="CQ40" s="177">
        <f ca="1">IFERROR(VLOOKUP(CQ6+1,INDIRECT('Lookup Tables'!$K$4),3,FALSE),0)</f>
        <v>0</v>
      </c>
      <c r="CR40" s="177">
        <f ca="1">IFERROR(VLOOKUP(CR6+1,INDIRECT('Lookup Tables'!$K$4),3,FALSE),0)</f>
        <v>0</v>
      </c>
      <c r="CS40" s="177">
        <f ca="1">IFERROR(VLOOKUP(CS6+1,INDIRECT('Lookup Tables'!$K$4),3,FALSE),0)</f>
        <v>0</v>
      </c>
      <c r="CT40" s="177">
        <f ca="1">IFERROR(VLOOKUP(CT6+1,INDIRECT('Lookup Tables'!$K$4),3,FALSE),0)</f>
        <v>0</v>
      </c>
      <c r="CU40" s="177">
        <f ca="1">IFERROR(VLOOKUP(CU6+1,INDIRECT('Lookup Tables'!$K$4),3,FALSE),0)</f>
        <v>0</v>
      </c>
      <c r="CV40" s="177">
        <f ca="1">IFERROR(VLOOKUP(CV6+1,INDIRECT('Lookup Tables'!$K$4),3,FALSE),0)</f>
        <v>0</v>
      </c>
      <c r="CW40" s="177">
        <f ca="1">IFERROR(VLOOKUP(CW6+1,INDIRECT('Lookup Tables'!$K$4),3,FALSE),0)</f>
        <v>0</v>
      </c>
      <c r="CX40" s="177">
        <f ca="1">IFERROR(VLOOKUP(CX6+1,INDIRECT('Lookup Tables'!$K$4),3,FALSE),0)</f>
        <v>0</v>
      </c>
      <c r="CY40" s="177">
        <f ca="1">IFERROR(VLOOKUP(CY6+1,INDIRECT('Lookup Tables'!$K$4),3,FALSE),0)</f>
        <v>0</v>
      </c>
    </row>
    <row r="41" spans="1:103" ht="15" customHeight="1" x14ac:dyDescent="0.2">
      <c r="A41" s="1066"/>
      <c r="B41" s="31" t="s">
        <v>16</v>
      </c>
      <c r="C41" s="269" t="e">
        <f ca="1">SUM(D41:CY41)</f>
        <v>#REF!</v>
      </c>
      <c r="D41" s="177" t="e">
        <f ca="1">VLOOKUP(D6,INDIRECT('Lookup Tables'!$K$4),5,FALSE)</f>
        <v>#REF!</v>
      </c>
      <c r="E41" s="177">
        <f ca="1">IFERROR(VLOOKUP(E6+1,INDIRECT('Lookup Tables'!$K$4),5,FALSE),0)</f>
        <v>0</v>
      </c>
      <c r="F41" s="177">
        <f ca="1">IFERROR(VLOOKUP(F6+1,INDIRECT('Lookup Tables'!$K$4),5,FALSE),0)</f>
        <v>0</v>
      </c>
      <c r="G41" s="177">
        <f ca="1">IFERROR(VLOOKUP(G6+1,INDIRECT('Lookup Tables'!$K$4),5,FALSE),0)</f>
        <v>0</v>
      </c>
      <c r="H41" s="177">
        <f ca="1">IFERROR(VLOOKUP(H6+1,INDIRECT('Lookup Tables'!$K$4),5,FALSE),0)</f>
        <v>0</v>
      </c>
      <c r="I41" s="177">
        <f ca="1">IFERROR(VLOOKUP(I6+1,INDIRECT('Lookup Tables'!$K$4),5,FALSE),0)</f>
        <v>0</v>
      </c>
      <c r="J41" s="177">
        <f ca="1">IFERROR(VLOOKUP(J6+1,INDIRECT('Lookup Tables'!$K$4),5,FALSE),0)</f>
        <v>0</v>
      </c>
      <c r="K41" s="177">
        <f ca="1">IFERROR(VLOOKUP(K6+1,INDIRECT('Lookup Tables'!$K$4),5,FALSE),0)</f>
        <v>0</v>
      </c>
      <c r="L41" s="177">
        <f ca="1">IFERROR(VLOOKUP(L6+1,INDIRECT('Lookup Tables'!$K$4),5,FALSE),0)</f>
        <v>0</v>
      </c>
      <c r="M41" s="177">
        <f ca="1">IFERROR(VLOOKUP(M6+1,INDIRECT('Lookup Tables'!$K$4),5,FALSE),0)</f>
        <v>0</v>
      </c>
      <c r="N41" s="177">
        <f ca="1">IFERROR(VLOOKUP(N6+1,INDIRECT('Lookup Tables'!$K$4),5,FALSE),0)</f>
        <v>0</v>
      </c>
      <c r="O41" s="177">
        <f ca="1">IFERROR(VLOOKUP(O6+1,INDIRECT('Lookup Tables'!$K$4),5,FALSE),0)</f>
        <v>0</v>
      </c>
      <c r="P41" s="177">
        <f ca="1">IFERROR(VLOOKUP(P6+1,INDIRECT('Lookup Tables'!$K$4),5,FALSE),0)</f>
        <v>0</v>
      </c>
      <c r="Q41" s="177">
        <f ca="1">IFERROR(VLOOKUP(Q6+1,INDIRECT('Lookup Tables'!$K$4),5,FALSE),0)</f>
        <v>0</v>
      </c>
      <c r="R41" s="177">
        <f ca="1">IFERROR(VLOOKUP(R6+1,INDIRECT('Lookup Tables'!$K$4),5,FALSE),0)</f>
        <v>0</v>
      </c>
      <c r="S41" s="177">
        <f ca="1">IFERROR(VLOOKUP(S6+1,INDIRECT('Lookup Tables'!$K$4),5,FALSE),0)</f>
        <v>0</v>
      </c>
      <c r="T41" s="177">
        <f ca="1">IFERROR(VLOOKUP(T6+1,INDIRECT('Lookup Tables'!$K$4),5,FALSE),0)</f>
        <v>0</v>
      </c>
      <c r="U41" s="177">
        <f ca="1">IFERROR(VLOOKUP(U6+1,INDIRECT('Lookup Tables'!$K$4),5,FALSE),0)</f>
        <v>0</v>
      </c>
      <c r="V41" s="177">
        <f ca="1">IFERROR(VLOOKUP(V6+1,INDIRECT('Lookup Tables'!$K$4),5,FALSE),0)</f>
        <v>0</v>
      </c>
      <c r="W41" s="177">
        <f ca="1">IFERROR(VLOOKUP(W6+1,INDIRECT('Lookup Tables'!$K$4),5,FALSE),0)</f>
        <v>0</v>
      </c>
      <c r="X41" s="177">
        <f ca="1">IFERROR(VLOOKUP(X6+1,INDIRECT('Lookup Tables'!$K$4),5,FALSE),0)</f>
        <v>0</v>
      </c>
      <c r="Y41" s="177">
        <f ca="1">IFERROR(VLOOKUP(Y6+1,INDIRECT('Lookup Tables'!$K$4),5,FALSE),0)</f>
        <v>0</v>
      </c>
      <c r="Z41" s="177">
        <f ca="1">IFERROR(VLOOKUP(Z6+1,INDIRECT('Lookup Tables'!$K$4),5,FALSE),0)</f>
        <v>0</v>
      </c>
      <c r="AA41" s="177">
        <f ca="1">IFERROR(VLOOKUP(AA6+1,INDIRECT('Lookup Tables'!$K$4),5,FALSE),0)</f>
        <v>0</v>
      </c>
      <c r="AB41" s="177">
        <f ca="1">IFERROR(VLOOKUP(AB6+1,INDIRECT('Lookup Tables'!$K$4),5,FALSE),0)</f>
        <v>0</v>
      </c>
      <c r="AC41" s="177">
        <f ca="1">IFERROR(VLOOKUP(AC6+1,INDIRECT('Lookup Tables'!$K$4),5,FALSE),0)</f>
        <v>0</v>
      </c>
      <c r="AD41" s="177">
        <f ca="1">IFERROR(VLOOKUP(AD6+1,INDIRECT('Lookup Tables'!$K$4),5,FALSE),0)</f>
        <v>0</v>
      </c>
      <c r="AE41" s="177">
        <f ca="1">IFERROR(VLOOKUP(AE6+1,INDIRECT('Lookup Tables'!$K$4),5,FALSE),0)</f>
        <v>0</v>
      </c>
      <c r="AF41" s="177">
        <f ca="1">IFERROR(VLOOKUP(AF6+1,INDIRECT('Lookup Tables'!$K$4),5,FALSE),0)</f>
        <v>0</v>
      </c>
      <c r="AG41" s="177">
        <f ca="1">IFERROR(VLOOKUP(AG6+1,INDIRECT('Lookup Tables'!$K$4),5,FALSE),0)</f>
        <v>0</v>
      </c>
      <c r="AH41" s="177">
        <f ca="1">IFERROR(VLOOKUP(AH6+1,INDIRECT('Lookup Tables'!$K$4),5,FALSE),0)</f>
        <v>0</v>
      </c>
      <c r="AI41" s="177">
        <f ca="1">IFERROR(VLOOKUP(AI6+1,INDIRECT('Lookup Tables'!$K$4),5,FALSE),0)</f>
        <v>0</v>
      </c>
      <c r="AJ41" s="177">
        <f ca="1">IFERROR(VLOOKUP(AJ6+1,INDIRECT('Lookup Tables'!$K$4),5,FALSE),0)</f>
        <v>0</v>
      </c>
      <c r="AK41" s="177">
        <f ca="1">IFERROR(VLOOKUP(AK6+1,INDIRECT('Lookup Tables'!$K$4),5,FALSE),0)</f>
        <v>0</v>
      </c>
      <c r="AL41" s="177">
        <f ca="1">IFERROR(VLOOKUP(AL6+1,INDIRECT('Lookup Tables'!$K$4),5,FALSE),0)</f>
        <v>0</v>
      </c>
      <c r="AM41" s="177">
        <f ca="1">IFERROR(VLOOKUP(AM6+1,INDIRECT('Lookup Tables'!$K$4),5,FALSE),0)</f>
        <v>0</v>
      </c>
      <c r="AN41" s="177">
        <f ca="1">IFERROR(VLOOKUP(AN6+1,INDIRECT('Lookup Tables'!$K$4),5,FALSE),0)</f>
        <v>0</v>
      </c>
      <c r="AO41" s="445">
        <f ca="1">IFERROR(VLOOKUP(AO6+1,INDIRECT('Lookup Tables'!$K$4),5,FALSE),0)</f>
        <v>0</v>
      </c>
      <c r="AP41" s="177">
        <f ca="1">IFERROR(VLOOKUP(AP6+1,INDIRECT('Lookup Tables'!$K$4),5,FALSE),0)</f>
        <v>0</v>
      </c>
      <c r="AQ41" s="177">
        <f ca="1">IFERROR(VLOOKUP(AQ6+1,INDIRECT('Lookup Tables'!$K$4),5,FALSE),0)</f>
        <v>0</v>
      </c>
      <c r="AR41" s="177">
        <f ca="1">IFERROR(VLOOKUP(AR6+1,INDIRECT('Lookup Tables'!$K$4),5,FALSE),0)</f>
        <v>0</v>
      </c>
      <c r="AS41" s="177">
        <f ca="1">IFERROR(VLOOKUP(AS6+1,INDIRECT('Lookup Tables'!$K$4),5,FALSE),0)</f>
        <v>0</v>
      </c>
      <c r="AT41" s="177">
        <f ca="1">IFERROR(VLOOKUP(AT6+1,INDIRECT('Lookup Tables'!$K$4),5,FALSE),0)</f>
        <v>0</v>
      </c>
      <c r="AU41" s="177">
        <f ca="1">IFERROR(VLOOKUP(AU6+1,INDIRECT('Lookup Tables'!$K$4),5,FALSE),0)</f>
        <v>0</v>
      </c>
      <c r="AV41" s="177">
        <f ca="1">IFERROR(VLOOKUP(AV6+1,INDIRECT('Lookup Tables'!$K$4),5,FALSE),0)</f>
        <v>0</v>
      </c>
      <c r="AW41" s="177">
        <f ca="1">IFERROR(VLOOKUP(AW6+1,INDIRECT('Lookup Tables'!$K$4),5,FALSE),0)</f>
        <v>0</v>
      </c>
      <c r="AX41" s="177">
        <f ca="1">IFERROR(VLOOKUP(AX6+1,INDIRECT('Lookup Tables'!$K$4),5,FALSE),0)</f>
        <v>0</v>
      </c>
      <c r="AY41" s="177">
        <f ca="1">IFERROR(VLOOKUP(AY6+1,INDIRECT('Lookup Tables'!$K$4),5,FALSE),0)</f>
        <v>0</v>
      </c>
      <c r="AZ41" s="177">
        <f ca="1">IFERROR(VLOOKUP(AZ6+1,INDIRECT('Lookup Tables'!$K$4),5,FALSE),0)</f>
        <v>0</v>
      </c>
      <c r="BA41" s="177">
        <f ca="1">IFERROR(VLOOKUP(BA6+1,INDIRECT('Lookup Tables'!$K$4),5,FALSE),0)</f>
        <v>0</v>
      </c>
      <c r="BB41" s="177">
        <f ca="1">IFERROR(VLOOKUP(BB6+1,INDIRECT('Lookup Tables'!$K$4),5,FALSE),0)</f>
        <v>0</v>
      </c>
      <c r="BC41" s="177">
        <f ca="1">IFERROR(VLOOKUP(BC6+1,INDIRECT('Lookup Tables'!$K$4),5,FALSE),0)</f>
        <v>0</v>
      </c>
      <c r="BD41" s="177">
        <f ca="1">IFERROR(VLOOKUP(BD6+1,INDIRECT('Lookup Tables'!$K$4),5,FALSE),0)</f>
        <v>0</v>
      </c>
      <c r="BE41" s="177">
        <f ca="1">IFERROR(VLOOKUP(BE6+1,INDIRECT('Lookup Tables'!$K$4),5,FALSE),0)</f>
        <v>0</v>
      </c>
      <c r="BF41" s="177">
        <f ca="1">IFERROR(VLOOKUP(BF6+1,INDIRECT('Lookup Tables'!$K$4),5,FALSE),0)</f>
        <v>0</v>
      </c>
      <c r="BG41" s="177">
        <f ca="1">IFERROR(VLOOKUP(BG6+1,INDIRECT('Lookup Tables'!$K$4),5,FALSE),0)</f>
        <v>0</v>
      </c>
      <c r="BH41" s="177">
        <f ca="1">IFERROR(VLOOKUP(BH6+1,INDIRECT('Lookup Tables'!$K$4),5,FALSE),0)</f>
        <v>0</v>
      </c>
      <c r="BI41" s="177">
        <f ca="1">IFERROR(VLOOKUP(BI6+1,INDIRECT('Lookup Tables'!$K$4),5,FALSE),0)</f>
        <v>0</v>
      </c>
      <c r="BJ41" s="177">
        <f ca="1">IFERROR(VLOOKUP(BJ6+1,INDIRECT('Lookup Tables'!$K$4),5,FALSE),0)</f>
        <v>0</v>
      </c>
      <c r="BK41" s="445">
        <f ca="1">IFERROR(VLOOKUP(BK6+1,INDIRECT('Lookup Tables'!$K$4),5,FALSE),0)</f>
        <v>0</v>
      </c>
      <c r="BL41" s="177">
        <f ca="1">IFERROR(VLOOKUP(BL6+1,INDIRECT('Lookup Tables'!$K$4),5,FALSE),0)</f>
        <v>0</v>
      </c>
      <c r="BM41" s="177">
        <f ca="1">IFERROR(VLOOKUP(BM6+1,INDIRECT('Lookup Tables'!$K$4),5,FALSE),0)</f>
        <v>0</v>
      </c>
      <c r="BN41" s="177">
        <f ca="1">IFERROR(VLOOKUP(BN6+1,INDIRECT('Lookup Tables'!$K$4),5,FALSE),0)</f>
        <v>0</v>
      </c>
      <c r="BO41" s="177">
        <f ca="1">IFERROR(VLOOKUP(BO6+1,INDIRECT('Lookup Tables'!$K$4),5,FALSE),0)</f>
        <v>0</v>
      </c>
      <c r="BP41" s="177">
        <f ca="1">IFERROR(VLOOKUP(BP6+1,INDIRECT('Lookup Tables'!$K$4),5,FALSE),0)</f>
        <v>0</v>
      </c>
      <c r="BQ41" s="177">
        <f ca="1">IFERROR(VLOOKUP(BQ6+1,INDIRECT('Lookup Tables'!$K$4),5,FALSE),0)</f>
        <v>0</v>
      </c>
      <c r="BR41" s="177">
        <f ca="1">IFERROR(VLOOKUP(BR6+1,INDIRECT('Lookup Tables'!$K$4),5,FALSE),0)</f>
        <v>0</v>
      </c>
      <c r="BS41" s="177">
        <f ca="1">IFERROR(VLOOKUP(BS6+1,INDIRECT('Lookup Tables'!$K$4),5,FALSE),0)</f>
        <v>0</v>
      </c>
      <c r="BT41" s="177">
        <f ca="1">IFERROR(VLOOKUP(BT6+1,INDIRECT('Lookup Tables'!$K$4),5,FALSE),0)</f>
        <v>0</v>
      </c>
      <c r="BU41" s="177">
        <f ca="1">IFERROR(VLOOKUP(BU6+1,INDIRECT('Lookup Tables'!$K$4),5,FALSE),0)</f>
        <v>0</v>
      </c>
      <c r="BV41" s="177">
        <f ca="1">IFERROR(VLOOKUP(BV6+1,INDIRECT('Lookup Tables'!$K$4),5,FALSE),0)</f>
        <v>0</v>
      </c>
      <c r="BW41" s="177">
        <f ca="1">IFERROR(VLOOKUP(BW6+1,INDIRECT('Lookup Tables'!$K$4),5,FALSE),0)</f>
        <v>0</v>
      </c>
      <c r="BX41" s="177">
        <f ca="1">IFERROR(VLOOKUP(BX6+1,INDIRECT('Lookup Tables'!$K$4),5,FALSE),0)</f>
        <v>0</v>
      </c>
      <c r="BY41" s="177">
        <f ca="1">IFERROR(VLOOKUP(BY6+1,INDIRECT('Lookup Tables'!$K$4),5,FALSE),0)</f>
        <v>0</v>
      </c>
      <c r="BZ41" s="177">
        <f ca="1">IFERROR(VLOOKUP(BZ6+1,INDIRECT('Lookup Tables'!$K$4),5,FALSE),0)</f>
        <v>0</v>
      </c>
      <c r="CA41" s="445">
        <f ca="1">IFERROR(VLOOKUP(CA6+1,INDIRECT('Lookup Tables'!$K$4),5,FALSE),0)</f>
        <v>0</v>
      </c>
      <c r="CB41" s="177">
        <f ca="1">IFERROR(VLOOKUP(CB6+1,INDIRECT('Lookup Tables'!$K$4),5,FALSE),0)</f>
        <v>0</v>
      </c>
      <c r="CC41" s="177">
        <f ca="1">IFERROR(VLOOKUP(CC6+1,INDIRECT('Lookup Tables'!$K$4),5,FALSE),0)</f>
        <v>0</v>
      </c>
      <c r="CD41" s="177">
        <f ca="1">IFERROR(VLOOKUP(CD6+1,INDIRECT('Lookup Tables'!$K$4),5,FALSE),0)</f>
        <v>0</v>
      </c>
      <c r="CE41" s="177">
        <f ca="1">IFERROR(VLOOKUP(CE6+1,INDIRECT('Lookup Tables'!$K$4),5,FALSE),0)</f>
        <v>0</v>
      </c>
      <c r="CF41" s="177">
        <f ca="1">IFERROR(VLOOKUP(CF6+1,INDIRECT('Lookup Tables'!$K$4),5,FALSE),0)</f>
        <v>0</v>
      </c>
      <c r="CG41" s="177">
        <f ca="1">IFERROR(VLOOKUP(CG6+1,INDIRECT('Lookup Tables'!$K$4),5,FALSE),0)</f>
        <v>0</v>
      </c>
      <c r="CH41" s="177">
        <f ca="1">IFERROR(VLOOKUP(CH6+1,INDIRECT('Lookup Tables'!$K$4),5,FALSE),0)</f>
        <v>0</v>
      </c>
      <c r="CI41" s="177">
        <f ca="1">IFERROR(VLOOKUP(CI6+1,INDIRECT('Lookup Tables'!$K$4),5,FALSE),0)</f>
        <v>0</v>
      </c>
      <c r="CJ41" s="177">
        <f ca="1">IFERROR(VLOOKUP(CJ6+1,INDIRECT('Lookup Tables'!$K$4),5,FALSE),0)</f>
        <v>0</v>
      </c>
      <c r="CK41" s="177">
        <f ca="1">IFERROR(VLOOKUP(CK6+1,INDIRECT('Lookup Tables'!$K$4),5,FALSE),0)</f>
        <v>0</v>
      </c>
      <c r="CL41" s="177">
        <f ca="1">IFERROR(VLOOKUP(CL6+1,INDIRECT('Lookup Tables'!$K$4),5,FALSE),0)</f>
        <v>0</v>
      </c>
      <c r="CM41" s="177">
        <f ca="1">IFERROR(VLOOKUP(CM6+1,INDIRECT('Lookup Tables'!$K$4),5,FALSE),0)</f>
        <v>0</v>
      </c>
      <c r="CN41" s="177">
        <f ca="1">IFERROR(VLOOKUP(CN6+1,INDIRECT('Lookup Tables'!$K$4),5,FALSE),0)</f>
        <v>0</v>
      </c>
      <c r="CO41" s="177">
        <f ca="1">IFERROR(VLOOKUP(CO6+1,INDIRECT('Lookup Tables'!$K$4),5,FALSE),0)</f>
        <v>0</v>
      </c>
      <c r="CP41" s="177">
        <f ca="1">IFERROR(VLOOKUP(CP6+1,INDIRECT('Lookup Tables'!$K$4),5,FALSE),0)</f>
        <v>0</v>
      </c>
      <c r="CQ41" s="177">
        <f ca="1">IFERROR(VLOOKUP(CQ6+1,INDIRECT('Lookup Tables'!$K$4),5,FALSE),0)</f>
        <v>0</v>
      </c>
      <c r="CR41" s="177">
        <f ca="1">IFERROR(VLOOKUP(CR6+1,INDIRECT('Lookup Tables'!$K$4),5,FALSE),0)</f>
        <v>0</v>
      </c>
      <c r="CS41" s="177">
        <f ca="1">IFERROR(VLOOKUP(CS6+1,INDIRECT('Lookup Tables'!$K$4),5,FALSE),0)</f>
        <v>0</v>
      </c>
      <c r="CT41" s="177">
        <f ca="1">IFERROR(VLOOKUP(CT6+1,INDIRECT('Lookup Tables'!$K$4),5,FALSE),0)</f>
        <v>0</v>
      </c>
      <c r="CU41" s="177">
        <f ca="1">IFERROR(VLOOKUP(CU6+1,INDIRECT('Lookup Tables'!$K$4),5,FALSE),0)</f>
        <v>0</v>
      </c>
      <c r="CV41" s="177">
        <f ca="1">IFERROR(VLOOKUP(CV6+1,INDIRECT('Lookup Tables'!$K$4),5,FALSE),0)</f>
        <v>0</v>
      </c>
      <c r="CW41" s="177">
        <f ca="1">IFERROR(VLOOKUP(CW6+1,INDIRECT('Lookup Tables'!$K$4),5,FALSE),0)</f>
        <v>0</v>
      </c>
      <c r="CX41" s="177">
        <f ca="1">IFERROR(VLOOKUP(CX6+1,INDIRECT('Lookup Tables'!$K$4),5,FALSE),0)</f>
        <v>0</v>
      </c>
      <c r="CY41" s="177">
        <f ca="1">IFERROR(VLOOKUP(CY6+1,INDIRECT('Lookup Tables'!$K$4),5,FALSE),0)</f>
        <v>0</v>
      </c>
    </row>
    <row r="42" spans="1:103" ht="15" customHeight="1" x14ac:dyDescent="0.2">
      <c r="A42" s="1066"/>
      <c r="B42" s="31" t="s">
        <v>15</v>
      </c>
      <c r="C42" s="269" t="e">
        <f ca="1">SUM(D42:CY42)</f>
        <v>#REF!</v>
      </c>
      <c r="D42" s="177" t="e">
        <f ca="1">VLOOKUP(D6,INDIRECT('Lookup Tables'!$K$4),6,FALSE)</f>
        <v>#REF!</v>
      </c>
      <c r="E42" s="177">
        <f ca="1">IFERROR(VLOOKUP(E6+1,INDIRECT('Lookup Tables'!$K$4),6,FALSE),0)</f>
        <v>0</v>
      </c>
      <c r="F42" s="177">
        <f ca="1">IFERROR(VLOOKUP(F6+1,INDIRECT('Lookup Tables'!$K$4),6,FALSE),0)</f>
        <v>0</v>
      </c>
      <c r="G42" s="177">
        <f ca="1">IFERROR(VLOOKUP(G6+1,INDIRECT('Lookup Tables'!$K$4),6,FALSE),0)</f>
        <v>0</v>
      </c>
      <c r="H42" s="177">
        <f ca="1">IFERROR(VLOOKUP(H6+1,INDIRECT('Lookup Tables'!$K$4),6,FALSE),0)</f>
        <v>0</v>
      </c>
      <c r="I42" s="177">
        <f ca="1">IFERROR(VLOOKUP(I6+1,INDIRECT('Lookup Tables'!$K$4),6,FALSE),0)</f>
        <v>0</v>
      </c>
      <c r="J42" s="177">
        <f ca="1">IFERROR(VLOOKUP(J6+1,INDIRECT('Lookup Tables'!$K$4),6,FALSE),0)</f>
        <v>0</v>
      </c>
      <c r="K42" s="177">
        <f ca="1">IFERROR(VLOOKUP(K6+1,INDIRECT('Lookup Tables'!$K$4),6,FALSE),0)</f>
        <v>0</v>
      </c>
      <c r="L42" s="177">
        <f ca="1">IFERROR(VLOOKUP(L6+1,INDIRECT('Lookup Tables'!$K$4),6,FALSE),0)</f>
        <v>0</v>
      </c>
      <c r="M42" s="177">
        <f ca="1">IFERROR(VLOOKUP(M6+1,INDIRECT('Lookup Tables'!$K$4),6,FALSE),0)</f>
        <v>0</v>
      </c>
      <c r="N42" s="177">
        <f ca="1">IFERROR(VLOOKUP(N6+1,INDIRECT('Lookup Tables'!$K$4),6,FALSE),0)</f>
        <v>0</v>
      </c>
      <c r="O42" s="177">
        <f ca="1">IFERROR(VLOOKUP(O6+1,INDIRECT('Lookup Tables'!$K$4),6,FALSE),0)</f>
        <v>0</v>
      </c>
      <c r="P42" s="177">
        <f ca="1">IFERROR(VLOOKUP(P6+1,INDIRECT('Lookup Tables'!$K$4),6,FALSE),0)</f>
        <v>0</v>
      </c>
      <c r="Q42" s="177">
        <f ca="1">IFERROR(VLOOKUP(Q6+1,INDIRECT('Lookup Tables'!$K$4),6,FALSE),0)</f>
        <v>0</v>
      </c>
      <c r="R42" s="177">
        <f ca="1">IFERROR(VLOOKUP(R6+1,INDIRECT('Lookup Tables'!$K$4),6,FALSE),0)</f>
        <v>0</v>
      </c>
      <c r="S42" s="177">
        <f ca="1">IFERROR(VLOOKUP(S6+1,INDIRECT('Lookup Tables'!$K$4),6,FALSE),0)</f>
        <v>0</v>
      </c>
      <c r="T42" s="177">
        <f ca="1">IFERROR(VLOOKUP(T6+1,INDIRECT('Lookup Tables'!$K$4),6,FALSE),0)</f>
        <v>0</v>
      </c>
      <c r="U42" s="177">
        <f ca="1">IFERROR(VLOOKUP(U6+1,INDIRECT('Lookup Tables'!$K$4),6,FALSE),0)</f>
        <v>0</v>
      </c>
      <c r="V42" s="177">
        <f ca="1">IFERROR(VLOOKUP(V6+1,INDIRECT('Lookup Tables'!$K$4),6,FALSE),0)</f>
        <v>0</v>
      </c>
      <c r="W42" s="177">
        <f ca="1">IFERROR(VLOOKUP(W6+1,INDIRECT('Lookup Tables'!$K$4),6,FALSE),0)</f>
        <v>0</v>
      </c>
      <c r="X42" s="177">
        <f ca="1">IFERROR(VLOOKUP(X6+1,INDIRECT('Lookup Tables'!$K$4),6,FALSE),0)</f>
        <v>0</v>
      </c>
      <c r="Y42" s="177">
        <f ca="1">IFERROR(VLOOKUP(Y6+1,INDIRECT('Lookup Tables'!$K$4),6,FALSE),0)</f>
        <v>0</v>
      </c>
      <c r="Z42" s="177">
        <f ca="1">IFERROR(VLOOKUP(Z6+1,INDIRECT('Lookup Tables'!$K$4),6,FALSE),0)</f>
        <v>0</v>
      </c>
      <c r="AA42" s="177">
        <f ca="1">IFERROR(VLOOKUP(AA6+1,INDIRECT('Lookup Tables'!$K$4),6,FALSE),0)</f>
        <v>0</v>
      </c>
      <c r="AB42" s="177">
        <f ca="1">IFERROR(VLOOKUP(AB6+1,INDIRECT('Lookup Tables'!$K$4),6,FALSE),0)</f>
        <v>0</v>
      </c>
      <c r="AC42" s="177">
        <f ca="1">IFERROR(VLOOKUP(AC6+1,INDIRECT('Lookup Tables'!$K$4),6,FALSE),0)</f>
        <v>0</v>
      </c>
      <c r="AD42" s="177">
        <f ca="1">IFERROR(VLOOKUP(AD6+1,INDIRECT('Lookup Tables'!$K$4),6,FALSE),0)</f>
        <v>0</v>
      </c>
      <c r="AE42" s="177">
        <f ca="1">IFERROR(VLOOKUP(AE6+1,INDIRECT('Lookup Tables'!$K$4),6,FALSE),0)</f>
        <v>0</v>
      </c>
      <c r="AF42" s="177">
        <f ca="1">IFERROR(VLOOKUP(AF6+1,INDIRECT('Lookup Tables'!$K$4),6,FALSE),0)</f>
        <v>0</v>
      </c>
      <c r="AG42" s="177">
        <f ca="1">IFERROR(VLOOKUP(AG6+1,INDIRECT('Lookup Tables'!$K$4),6,FALSE),0)</f>
        <v>0</v>
      </c>
      <c r="AH42" s="177">
        <f ca="1">IFERROR(VLOOKUP(AH6+1,INDIRECT('Lookup Tables'!$K$4),6,FALSE),0)</f>
        <v>0</v>
      </c>
      <c r="AI42" s="177">
        <f ca="1">IFERROR(VLOOKUP(AI6+1,INDIRECT('Lookup Tables'!$K$4),6,FALSE),0)</f>
        <v>0</v>
      </c>
      <c r="AJ42" s="177">
        <f ca="1">IFERROR(VLOOKUP(AJ6+1,INDIRECT('Lookup Tables'!$K$4),6,FALSE),0)</f>
        <v>0</v>
      </c>
      <c r="AK42" s="177">
        <f ca="1">IFERROR(VLOOKUP(AK6+1,INDIRECT('Lookup Tables'!$K$4),6,FALSE),0)</f>
        <v>0</v>
      </c>
      <c r="AL42" s="177">
        <f ca="1">IFERROR(VLOOKUP(AL6+1,INDIRECT('Lookup Tables'!$K$4),6,FALSE),0)</f>
        <v>0</v>
      </c>
      <c r="AM42" s="177">
        <f ca="1">IFERROR(VLOOKUP(AM6+1,INDIRECT('Lookup Tables'!$K$4),6,FALSE),0)</f>
        <v>0</v>
      </c>
      <c r="AN42" s="177">
        <f ca="1">IFERROR(VLOOKUP(AN6+1,INDIRECT('Lookup Tables'!$K$4),6,FALSE),0)</f>
        <v>0</v>
      </c>
      <c r="AO42" s="445">
        <f ca="1">IFERROR(VLOOKUP(AO6+1,INDIRECT('Lookup Tables'!$K$4),6,FALSE),0)</f>
        <v>0</v>
      </c>
      <c r="AP42" s="177">
        <f ca="1">IFERROR(VLOOKUP(AP6+1,INDIRECT('Lookup Tables'!$K$4),6,FALSE),0)</f>
        <v>0</v>
      </c>
      <c r="AQ42" s="177">
        <f ca="1">IFERROR(VLOOKUP(AQ6+1,INDIRECT('Lookup Tables'!$K$4),6,FALSE),0)</f>
        <v>0</v>
      </c>
      <c r="AR42" s="177">
        <f ca="1">IFERROR(VLOOKUP(AR6+1,INDIRECT('Lookup Tables'!$K$4),6,FALSE),0)</f>
        <v>0</v>
      </c>
      <c r="AS42" s="177">
        <f ca="1">IFERROR(VLOOKUP(AS6+1,INDIRECT('Lookup Tables'!$K$4),6,FALSE),0)</f>
        <v>0</v>
      </c>
      <c r="AT42" s="177">
        <f ca="1">IFERROR(VLOOKUP(AT6+1,INDIRECT('Lookup Tables'!$K$4),6,FALSE),0)</f>
        <v>0</v>
      </c>
      <c r="AU42" s="177">
        <f ca="1">IFERROR(VLOOKUP(AU6+1,INDIRECT('Lookup Tables'!$K$4),6,FALSE),0)</f>
        <v>0</v>
      </c>
      <c r="AV42" s="177">
        <f ca="1">IFERROR(VLOOKUP(AV6+1,INDIRECT('Lookup Tables'!$K$4),6,FALSE),0)</f>
        <v>0</v>
      </c>
      <c r="AW42" s="177">
        <f ca="1">IFERROR(VLOOKUP(AW6+1,INDIRECT('Lookup Tables'!$K$4),6,FALSE),0)</f>
        <v>0</v>
      </c>
      <c r="AX42" s="177">
        <f ca="1">IFERROR(VLOOKUP(AX6+1,INDIRECT('Lookup Tables'!$K$4),6,FALSE),0)</f>
        <v>0</v>
      </c>
      <c r="AY42" s="177">
        <f ca="1">IFERROR(VLOOKUP(AY6+1,INDIRECT('Lookup Tables'!$K$4),6,FALSE),0)</f>
        <v>0</v>
      </c>
      <c r="AZ42" s="177">
        <f ca="1">IFERROR(VLOOKUP(AZ6+1,INDIRECT('Lookup Tables'!$K$4),6,FALSE),0)</f>
        <v>0</v>
      </c>
      <c r="BA42" s="177">
        <f ca="1">IFERROR(VLOOKUP(BA6+1,INDIRECT('Lookup Tables'!$K$4),6,FALSE),0)</f>
        <v>0</v>
      </c>
      <c r="BB42" s="177">
        <f ca="1">IFERROR(VLOOKUP(BB6+1,INDIRECT('Lookup Tables'!$K$4),6,FALSE),0)</f>
        <v>0</v>
      </c>
      <c r="BC42" s="177">
        <f ca="1">IFERROR(VLOOKUP(BC6+1,INDIRECT('Lookup Tables'!$K$4),6,FALSE),0)</f>
        <v>0</v>
      </c>
      <c r="BD42" s="177">
        <f ca="1">IFERROR(VLOOKUP(BD6+1,INDIRECT('Lookup Tables'!$K$4),6,FALSE),0)</f>
        <v>0</v>
      </c>
      <c r="BE42" s="177">
        <f ca="1">IFERROR(VLOOKUP(BE6+1,INDIRECT('Lookup Tables'!$K$4),6,FALSE),0)</f>
        <v>0</v>
      </c>
      <c r="BF42" s="177">
        <f ca="1">IFERROR(VLOOKUP(BF6+1,INDIRECT('Lookup Tables'!$K$4),6,FALSE),0)</f>
        <v>0</v>
      </c>
      <c r="BG42" s="177">
        <f ca="1">IFERROR(VLOOKUP(BG6+1,INDIRECT('Lookup Tables'!$K$4),6,FALSE),0)</f>
        <v>0</v>
      </c>
      <c r="BH42" s="177">
        <f ca="1">IFERROR(VLOOKUP(BH6+1,INDIRECT('Lookup Tables'!$K$4),6,FALSE),0)</f>
        <v>0</v>
      </c>
      <c r="BI42" s="177">
        <f ca="1">IFERROR(VLOOKUP(BI6+1,INDIRECT('Lookup Tables'!$K$4),6,FALSE),0)</f>
        <v>0</v>
      </c>
      <c r="BJ42" s="177">
        <f ca="1">IFERROR(VLOOKUP(BJ6+1,INDIRECT('Lookup Tables'!$K$4),6,FALSE),0)</f>
        <v>0</v>
      </c>
      <c r="BK42" s="445">
        <f ca="1">IFERROR(VLOOKUP(BK6+1,INDIRECT('Lookup Tables'!$K$4),6,FALSE),0)</f>
        <v>0</v>
      </c>
      <c r="BL42" s="177">
        <f ca="1">IFERROR(VLOOKUP(BL6+1,INDIRECT('Lookup Tables'!$K$4),6,FALSE),0)</f>
        <v>0</v>
      </c>
      <c r="BM42" s="177">
        <f ca="1">IFERROR(VLOOKUP(BM6+1,INDIRECT('Lookup Tables'!$K$4),6,FALSE),0)</f>
        <v>0</v>
      </c>
      <c r="BN42" s="177">
        <f ca="1">IFERROR(VLOOKUP(BN6+1,INDIRECT('Lookup Tables'!$K$4),6,FALSE),0)</f>
        <v>0</v>
      </c>
      <c r="BO42" s="177">
        <f ca="1">IFERROR(VLOOKUP(BO6+1,INDIRECT('Lookup Tables'!$K$4),6,FALSE),0)</f>
        <v>0</v>
      </c>
      <c r="BP42" s="177">
        <f ca="1">IFERROR(VLOOKUP(BP6+1,INDIRECT('Lookup Tables'!$K$4),6,FALSE),0)</f>
        <v>0</v>
      </c>
      <c r="BQ42" s="177">
        <f ca="1">IFERROR(VLOOKUP(BQ6+1,INDIRECT('Lookup Tables'!$K$4),6,FALSE),0)</f>
        <v>0</v>
      </c>
      <c r="BR42" s="177">
        <f ca="1">IFERROR(VLOOKUP(BR6+1,INDIRECT('Lookup Tables'!$K$4),6,FALSE),0)</f>
        <v>0</v>
      </c>
      <c r="BS42" s="177">
        <f ca="1">IFERROR(VLOOKUP(BS6+1,INDIRECT('Lookup Tables'!$K$4),6,FALSE),0)</f>
        <v>0</v>
      </c>
      <c r="BT42" s="177">
        <f ca="1">IFERROR(VLOOKUP(BT6+1,INDIRECT('Lookup Tables'!$K$4),6,FALSE),0)</f>
        <v>0</v>
      </c>
      <c r="BU42" s="177">
        <f ca="1">IFERROR(VLOOKUP(BU6+1,INDIRECT('Lookup Tables'!$K$4),6,FALSE),0)</f>
        <v>0</v>
      </c>
      <c r="BV42" s="177">
        <f ca="1">IFERROR(VLOOKUP(BV6+1,INDIRECT('Lookup Tables'!$K$4),6,FALSE),0)</f>
        <v>0</v>
      </c>
      <c r="BW42" s="177">
        <f ca="1">IFERROR(VLOOKUP(BW6+1,INDIRECT('Lookup Tables'!$K$4),6,FALSE),0)</f>
        <v>0</v>
      </c>
      <c r="BX42" s="177">
        <f ca="1">IFERROR(VLOOKUP(BX6+1,INDIRECT('Lookup Tables'!$K$4),6,FALSE),0)</f>
        <v>0</v>
      </c>
      <c r="BY42" s="177">
        <f ca="1">IFERROR(VLOOKUP(BY6+1,INDIRECT('Lookup Tables'!$K$4),6,FALSE),0)</f>
        <v>0</v>
      </c>
      <c r="BZ42" s="177">
        <f ca="1">IFERROR(VLOOKUP(BZ6+1,INDIRECT('Lookup Tables'!$K$4),6,FALSE),0)</f>
        <v>0</v>
      </c>
      <c r="CA42" s="445">
        <f ca="1">IFERROR(VLOOKUP(CA6+1,INDIRECT('Lookup Tables'!$K$4),6,FALSE),0)</f>
        <v>0</v>
      </c>
      <c r="CB42" s="177">
        <f ca="1">IFERROR(VLOOKUP(CB6+1,INDIRECT('Lookup Tables'!$K$4),6,FALSE),0)</f>
        <v>0</v>
      </c>
      <c r="CC42" s="177">
        <f ca="1">IFERROR(VLOOKUP(CC6+1,INDIRECT('Lookup Tables'!$K$4),6,FALSE),0)</f>
        <v>0</v>
      </c>
      <c r="CD42" s="177">
        <f ca="1">IFERROR(VLOOKUP(CD6+1,INDIRECT('Lookup Tables'!$K$4),6,FALSE),0)</f>
        <v>0</v>
      </c>
      <c r="CE42" s="177">
        <f ca="1">IFERROR(VLOOKUP(CE6+1,INDIRECT('Lookup Tables'!$K$4),6,FALSE),0)</f>
        <v>0</v>
      </c>
      <c r="CF42" s="177">
        <f ca="1">IFERROR(VLOOKUP(CF6+1,INDIRECT('Lookup Tables'!$K$4),6,FALSE),0)</f>
        <v>0</v>
      </c>
      <c r="CG42" s="177">
        <f ca="1">IFERROR(VLOOKUP(CG6+1,INDIRECT('Lookup Tables'!$K$4),6,FALSE),0)</f>
        <v>0</v>
      </c>
      <c r="CH42" s="177">
        <f ca="1">IFERROR(VLOOKUP(CH6+1,INDIRECT('Lookup Tables'!$K$4),6,FALSE),0)</f>
        <v>0</v>
      </c>
      <c r="CI42" s="177">
        <f ca="1">IFERROR(VLOOKUP(CI6+1,INDIRECT('Lookup Tables'!$K$4),6,FALSE),0)</f>
        <v>0</v>
      </c>
      <c r="CJ42" s="177">
        <f ca="1">IFERROR(VLOOKUP(CJ6+1,INDIRECT('Lookup Tables'!$K$4),6,FALSE),0)</f>
        <v>0</v>
      </c>
      <c r="CK42" s="177">
        <f ca="1">IFERROR(VLOOKUP(CK6+1,INDIRECT('Lookup Tables'!$K$4),6,FALSE),0)</f>
        <v>0</v>
      </c>
      <c r="CL42" s="177">
        <f ca="1">IFERROR(VLOOKUP(CL6+1,INDIRECT('Lookup Tables'!$K$4),6,FALSE),0)</f>
        <v>0</v>
      </c>
      <c r="CM42" s="177">
        <f ca="1">IFERROR(VLOOKUP(CM6+1,INDIRECT('Lookup Tables'!$K$4),6,FALSE),0)</f>
        <v>0</v>
      </c>
      <c r="CN42" s="177">
        <f ca="1">IFERROR(VLOOKUP(CN6+1,INDIRECT('Lookup Tables'!$K$4),6,FALSE),0)</f>
        <v>0</v>
      </c>
      <c r="CO42" s="177">
        <f ca="1">IFERROR(VLOOKUP(CO6+1,INDIRECT('Lookup Tables'!$K$4),6,FALSE),0)</f>
        <v>0</v>
      </c>
      <c r="CP42" s="177">
        <f ca="1">IFERROR(VLOOKUP(CP6+1,INDIRECT('Lookup Tables'!$K$4),6,FALSE),0)</f>
        <v>0</v>
      </c>
      <c r="CQ42" s="177">
        <f ca="1">IFERROR(VLOOKUP(CQ6+1,INDIRECT('Lookup Tables'!$K$4),6,FALSE),0)</f>
        <v>0</v>
      </c>
      <c r="CR42" s="177">
        <f ca="1">IFERROR(VLOOKUP(CR6+1,INDIRECT('Lookup Tables'!$K$4),6,FALSE),0)</f>
        <v>0</v>
      </c>
      <c r="CS42" s="177">
        <f ca="1">IFERROR(VLOOKUP(CS6+1,INDIRECT('Lookup Tables'!$K$4),6,FALSE),0)</f>
        <v>0</v>
      </c>
      <c r="CT42" s="177">
        <f ca="1">IFERROR(VLOOKUP(CT6+1,INDIRECT('Lookup Tables'!$K$4),6,FALSE),0)</f>
        <v>0</v>
      </c>
      <c r="CU42" s="177">
        <f ca="1">IFERROR(VLOOKUP(CU6+1,INDIRECT('Lookup Tables'!$K$4),6,FALSE),0)</f>
        <v>0</v>
      </c>
      <c r="CV42" s="177">
        <f ca="1">IFERROR(VLOOKUP(CV6+1,INDIRECT('Lookup Tables'!$K$4),6,FALSE),0)</f>
        <v>0</v>
      </c>
      <c r="CW42" s="177">
        <f ca="1">IFERROR(VLOOKUP(CW6+1,INDIRECT('Lookup Tables'!$K$4),6,FALSE),0)</f>
        <v>0</v>
      </c>
      <c r="CX42" s="177">
        <f ca="1">IFERROR(VLOOKUP(CX6+1,INDIRECT('Lookup Tables'!$K$4),6,FALSE),0)</f>
        <v>0</v>
      </c>
      <c r="CY42" s="177">
        <f ca="1">IFERROR(VLOOKUP(CY6+1,INDIRECT('Lookup Tables'!$K$4),6,FALSE),0)</f>
        <v>0</v>
      </c>
    </row>
    <row r="43" spans="1:103" ht="15" customHeight="1" x14ac:dyDescent="0.2">
      <c r="A43" s="1065"/>
      <c r="B43" s="416" t="s">
        <v>357</v>
      </c>
      <c r="C43" s="269" t="e">
        <f ca="1">SUM(D43:CY43)</f>
        <v>#REF!</v>
      </c>
      <c r="D43" s="177" t="e">
        <f ca="1">VLOOKUP(D6,INDIRECT('Lookup Tables'!$K$4),4,FALSE)</f>
        <v>#REF!</v>
      </c>
      <c r="E43" s="177">
        <f ca="1">IFERROR(VLOOKUP(E6+1,INDIRECT('Lookup Tables'!$K$4),4,FALSE),0)</f>
        <v>0</v>
      </c>
      <c r="F43" s="177">
        <f ca="1">IFERROR(VLOOKUP(F6+1,INDIRECT('Lookup Tables'!$K$4),4,FALSE),0)</f>
        <v>0</v>
      </c>
      <c r="G43" s="177">
        <f ca="1">IFERROR(VLOOKUP(G6+1,INDIRECT('Lookup Tables'!$K$4),4,FALSE),0)</f>
        <v>0</v>
      </c>
      <c r="H43" s="177">
        <f ca="1">IFERROR(VLOOKUP(H6+1,INDIRECT('Lookup Tables'!$K$4),4,FALSE),0)</f>
        <v>0</v>
      </c>
      <c r="I43" s="177">
        <f ca="1">IFERROR(VLOOKUP(I6+1,INDIRECT('Lookup Tables'!$K$4),4,FALSE),0)</f>
        <v>0</v>
      </c>
      <c r="J43" s="177">
        <f ca="1">IFERROR(VLOOKUP(J6+1,INDIRECT('Lookup Tables'!$K$4),4,FALSE),0)</f>
        <v>0</v>
      </c>
      <c r="K43" s="177">
        <f ca="1">IFERROR(VLOOKUP(K6+1,INDIRECT('Lookup Tables'!$K$4),4,FALSE),0)</f>
        <v>0</v>
      </c>
      <c r="L43" s="177">
        <f ca="1">IFERROR(VLOOKUP(L6+1,INDIRECT('Lookup Tables'!$K$4),4,FALSE),0)</f>
        <v>0</v>
      </c>
      <c r="M43" s="177">
        <f ca="1">IFERROR(VLOOKUP(M6+1,INDIRECT('Lookup Tables'!$K$4),4,FALSE),0)</f>
        <v>0</v>
      </c>
      <c r="N43" s="177">
        <f ca="1">IFERROR(VLOOKUP(N6+1,INDIRECT('Lookup Tables'!$K$4),4,FALSE),0)</f>
        <v>0</v>
      </c>
      <c r="O43" s="177">
        <f ca="1">IFERROR(VLOOKUP(O6+1,INDIRECT('Lookup Tables'!$K$4),4,FALSE),0)</f>
        <v>0</v>
      </c>
      <c r="P43" s="177">
        <f ca="1">IFERROR(VLOOKUP(P6+1,INDIRECT('Lookup Tables'!$K$4),4,FALSE),0)</f>
        <v>0</v>
      </c>
      <c r="Q43" s="177">
        <f ca="1">IFERROR(VLOOKUP(Q6+1,INDIRECT('Lookup Tables'!$K$4),4,FALSE),0)</f>
        <v>0</v>
      </c>
      <c r="R43" s="177">
        <f ca="1">IFERROR(VLOOKUP(R6+1,INDIRECT('Lookup Tables'!$K$4),4,FALSE),0)</f>
        <v>0</v>
      </c>
      <c r="S43" s="177">
        <f ca="1">IFERROR(VLOOKUP(S6+1,INDIRECT('Lookup Tables'!$K$4),4,FALSE),0)</f>
        <v>0</v>
      </c>
      <c r="T43" s="177">
        <f ca="1">IFERROR(VLOOKUP(T6+1,INDIRECT('Lookup Tables'!$K$4),4,FALSE),0)</f>
        <v>0</v>
      </c>
      <c r="U43" s="177">
        <f ca="1">IFERROR(VLOOKUP(U6+1,INDIRECT('Lookup Tables'!$K$4),4,FALSE),0)</f>
        <v>0</v>
      </c>
      <c r="V43" s="177">
        <f ca="1">IFERROR(VLOOKUP(V6+1,INDIRECT('Lookup Tables'!$K$4),4,FALSE),0)</f>
        <v>0</v>
      </c>
      <c r="W43" s="177">
        <f ca="1">IFERROR(VLOOKUP(W6+1,INDIRECT('Lookup Tables'!$K$4),4,FALSE),0)</f>
        <v>0</v>
      </c>
      <c r="X43" s="177">
        <f ca="1">IFERROR(VLOOKUP(X6+1,INDIRECT('Lookup Tables'!$K$4),4,FALSE),0)</f>
        <v>0</v>
      </c>
      <c r="Y43" s="177">
        <f ca="1">IFERROR(VLOOKUP(Y6+1,INDIRECT('Lookup Tables'!$K$4),4,FALSE),0)</f>
        <v>0</v>
      </c>
      <c r="Z43" s="177">
        <f ca="1">IFERROR(VLOOKUP(Z6+1,INDIRECT('Lookup Tables'!$K$4),4,FALSE),0)</f>
        <v>0</v>
      </c>
      <c r="AA43" s="177">
        <f ca="1">IFERROR(VLOOKUP(AA6+1,INDIRECT('Lookup Tables'!$K$4),4,FALSE),0)</f>
        <v>0</v>
      </c>
      <c r="AB43" s="177">
        <f ca="1">IFERROR(VLOOKUP(AB6+1,INDIRECT('Lookup Tables'!$K$4),4,FALSE),0)</f>
        <v>0</v>
      </c>
      <c r="AC43" s="177">
        <f ca="1">IFERROR(VLOOKUP(AC6+1,INDIRECT('Lookup Tables'!$K$4),4,FALSE),0)</f>
        <v>0</v>
      </c>
      <c r="AD43" s="177">
        <f ca="1">IFERROR(VLOOKUP(AD6+1,INDIRECT('Lookup Tables'!$K$4),4,FALSE),0)</f>
        <v>0</v>
      </c>
      <c r="AE43" s="177">
        <f ca="1">IFERROR(VLOOKUP(AE6+1,INDIRECT('Lookup Tables'!$K$4),4,FALSE),0)</f>
        <v>0</v>
      </c>
      <c r="AF43" s="177">
        <f ca="1">IFERROR(VLOOKUP(AF6+1,INDIRECT('Lookup Tables'!$K$4),4,FALSE),0)</f>
        <v>0</v>
      </c>
      <c r="AG43" s="177">
        <f ca="1">IFERROR(VLOOKUP(AG6+1,INDIRECT('Lookup Tables'!$K$4),4,FALSE),0)</f>
        <v>0</v>
      </c>
      <c r="AH43" s="177">
        <f ca="1">IFERROR(VLOOKUP(AH6+1,INDIRECT('Lookup Tables'!$K$4),4,FALSE),0)</f>
        <v>0</v>
      </c>
      <c r="AI43" s="177">
        <f ca="1">IFERROR(VLOOKUP(AI6+1,INDIRECT('Lookup Tables'!$K$4),4,FALSE),0)</f>
        <v>0</v>
      </c>
      <c r="AJ43" s="177">
        <f ca="1">IFERROR(VLOOKUP(AJ6+1,INDIRECT('Lookup Tables'!$K$4),4,FALSE),0)</f>
        <v>0</v>
      </c>
      <c r="AK43" s="177">
        <f ca="1">IFERROR(VLOOKUP(AK6+1,INDIRECT('Lookup Tables'!$K$4),4,FALSE),0)</f>
        <v>0</v>
      </c>
      <c r="AL43" s="177">
        <f ca="1">IFERROR(VLOOKUP(AL6+1,INDIRECT('Lookup Tables'!$K$4),4,FALSE),0)</f>
        <v>0</v>
      </c>
      <c r="AM43" s="177">
        <f ca="1">IFERROR(VLOOKUP(AM6+1,INDIRECT('Lookup Tables'!$K$4),4,FALSE),0)</f>
        <v>0</v>
      </c>
      <c r="AN43" s="177">
        <f ca="1">IFERROR(VLOOKUP(AN6+1,INDIRECT('Lookup Tables'!$K$4),4,FALSE),0)</f>
        <v>0</v>
      </c>
      <c r="AO43" s="445">
        <f ca="1">IFERROR(VLOOKUP(AO6+1,INDIRECT('Lookup Tables'!$K$4),4,FALSE),0)</f>
        <v>0</v>
      </c>
      <c r="AP43" s="177">
        <f ca="1">IFERROR(VLOOKUP(AP6+1,INDIRECT('Lookup Tables'!$K$4),4,FALSE),0)</f>
        <v>0</v>
      </c>
      <c r="AQ43" s="177">
        <f ca="1">IFERROR(VLOOKUP(AQ6+1,INDIRECT('Lookup Tables'!$K$4),4,FALSE),0)</f>
        <v>0</v>
      </c>
      <c r="AR43" s="177">
        <f ca="1">IFERROR(VLOOKUP(AR6+1,INDIRECT('Lookup Tables'!$K$4),4,FALSE),0)</f>
        <v>0</v>
      </c>
      <c r="AS43" s="177">
        <f ca="1">IFERROR(VLOOKUP(AS6+1,INDIRECT('Lookup Tables'!$K$4),4,FALSE),0)</f>
        <v>0</v>
      </c>
      <c r="AT43" s="177">
        <f ca="1">IFERROR(VLOOKUP(AT6+1,INDIRECT('Lookup Tables'!$K$4),4,FALSE),0)</f>
        <v>0</v>
      </c>
      <c r="AU43" s="177">
        <f ca="1">IFERROR(VLOOKUP(AU6+1,INDIRECT('Lookup Tables'!$K$4),4,FALSE),0)</f>
        <v>0</v>
      </c>
      <c r="AV43" s="177">
        <f ca="1">IFERROR(VLOOKUP(AV6+1,INDIRECT('Lookup Tables'!$K$4),4,FALSE),0)</f>
        <v>0</v>
      </c>
      <c r="AW43" s="177">
        <f ca="1">IFERROR(VLOOKUP(AW6+1,INDIRECT('Lookup Tables'!$K$4),4,FALSE),0)</f>
        <v>0</v>
      </c>
      <c r="AX43" s="177">
        <f ca="1">IFERROR(VLOOKUP(AX6+1,INDIRECT('Lookup Tables'!$K$4),4,FALSE),0)</f>
        <v>0</v>
      </c>
      <c r="AY43" s="177">
        <f ca="1">IFERROR(VLOOKUP(AY6+1,INDIRECT('Lookup Tables'!$K$4),4,FALSE),0)</f>
        <v>0</v>
      </c>
      <c r="AZ43" s="177">
        <f ca="1">IFERROR(VLOOKUP(AZ6+1,INDIRECT('Lookup Tables'!$K$4),4,FALSE),0)</f>
        <v>0</v>
      </c>
      <c r="BA43" s="177">
        <f ca="1">IFERROR(VLOOKUP(BA6+1,INDIRECT('Lookup Tables'!$K$4),4,FALSE),0)</f>
        <v>0</v>
      </c>
      <c r="BB43" s="177">
        <f ca="1">IFERROR(VLOOKUP(BB6+1,INDIRECT('Lookup Tables'!$K$4),4,FALSE),0)</f>
        <v>0</v>
      </c>
      <c r="BC43" s="177">
        <f ca="1">IFERROR(VLOOKUP(BC6+1,INDIRECT('Lookup Tables'!$K$4),4,FALSE),0)</f>
        <v>0</v>
      </c>
      <c r="BD43" s="177">
        <f ca="1">IFERROR(VLOOKUP(BD6+1,INDIRECT('Lookup Tables'!$K$4),4,FALSE),0)</f>
        <v>0</v>
      </c>
      <c r="BE43" s="177">
        <f ca="1">IFERROR(VLOOKUP(BE6+1,INDIRECT('Lookup Tables'!$K$4),4,FALSE),0)</f>
        <v>0</v>
      </c>
      <c r="BF43" s="177">
        <f ca="1">IFERROR(VLOOKUP(BF6+1,INDIRECT('Lookup Tables'!$K$4),4,FALSE),0)</f>
        <v>0</v>
      </c>
      <c r="BG43" s="177">
        <f ca="1">IFERROR(VLOOKUP(BG6+1,INDIRECT('Lookup Tables'!$K$4),4,FALSE),0)</f>
        <v>0</v>
      </c>
      <c r="BH43" s="177">
        <f ca="1">IFERROR(VLOOKUP(BH6+1,INDIRECT('Lookup Tables'!$K$4),4,FALSE),0)</f>
        <v>0</v>
      </c>
      <c r="BI43" s="177">
        <f ca="1">IFERROR(VLOOKUP(BI6+1,INDIRECT('Lookup Tables'!$K$4),4,FALSE),0)</f>
        <v>0</v>
      </c>
      <c r="BJ43" s="177">
        <f ca="1">IFERROR(VLOOKUP(BJ6+1,INDIRECT('Lookup Tables'!$K$4),4,FALSE),0)</f>
        <v>0</v>
      </c>
      <c r="BK43" s="445">
        <f ca="1">IFERROR(VLOOKUP(BK6+1,INDIRECT('Lookup Tables'!$K$4),4,FALSE),0)</f>
        <v>0</v>
      </c>
      <c r="BL43" s="177">
        <f ca="1">IFERROR(VLOOKUP(BL6+1,INDIRECT('Lookup Tables'!$K$4),4,FALSE),0)</f>
        <v>0</v>
      </c>
      <c r="BM43" s="177">
        <f ca="1">IFERROR(VLOOKUP(BM6+1,INDIRECT('Lookup Tables'!$K$4),4,FALSE),0)</f>
        <v>0</v>
      </c>
      <c r="BN43" s="177">
        <f ca="1">IFERROR(VLOOKUP(BN6+1,INDIRECT('Lookup Tables'!$K$4),4,FALSE),0)</f>
        <v>0</v>
      </c>
      <c r="BO43" s="177">
        <f ca="1">IFERROR(VLOOKUP(BO6+1,INDIRECT('Lookup Tables'!$K$4),4,FALSE),0)</f>
        <v>0</v>
      </c>
      <c r="BP43" s="177">
        <f ca="1">IFERROR(VLOOKUP(BP6+1,INDIRECT('Lookup Tables'!$K$4),4,FALSE),0)</f>
        <v>0</v>
      </c>
      <c r="BQ43" s="177">
        <f ca="1">IFERROR(VLOOKUP(BQ6+1,INDIRECT('Lookup Tables'!$K$4),4,FALSE),0)</f>
        <v>0</v>
      </c>
      <c r="BR43" s="177">
        <f ca="1">IFERROR(VLOOKUP(BR6+1,INDIRECT('Lookup Tables'!$K$4),4,FALSE),0)</f>
        <v>0</v>
      </c>
      <c r="BS43" s="177">
        <f ca="1">IFERROR(VLOOKUP(BS6+1,INDIRECT('Lookup Tables'!$K$4),4,FALSE),0)</f>
        <v>0</v>
      </c>
      <c r="BT43" s="177">
        <f ca="1">IFERROR(VLOOKUP(BT6+1,INDIRECT('Lookup Tables'!$K$4),4,FALSE),0)</f>
        <v>0</v>
      </c>
      <c r="BU43" s="177">
        <f ca="1">IFERROR(VLOOKUP(BU6+1,INDIRECT('Lookup Tables'!$K$4),4,FALSE),0)</f>
        <v>0</v>
      </c>
      <c r="BV43" s="177">
        <f ca="1">IFERROR(VLOOKUP(BV6+1,INDIRECT('Lookup Tables'!$K$4),4,FALSE),0)</f>
        <v>0</v>
      </c>
      <c r="BW43" s="177">
        <f ca="1">IFERROR(VLOOKUP(BW6+1,INDIRECT('Lookup Tables'!$K$4),4,FALSE),0)</f>
        <v>0</v>
      </c>
      <c r="BX43" s="177">
        <f ca="1">IFERROR(VLOOKUP(BX6+1,INDIRECT('Lookup Tables'!$K$4),4,FALSE),0)</f>
        <v>0</v>
      </c>
      <c r="BY43" s="177">
        <f ca="1">IFERROR(VLOOKUP(BY6+1,INDIRECT('Lookup Tables'!$K$4),4,FALSE),0)</f>
        <v>0</v>
      </c>
      <c r="BZ43" s="177">
        <f ca="1">IFERROR(VLOOKUP(BZ6+1,INDIRECT('Lookup Tables'!$K$4),4,FALSE),0)</f>
        <v>0</v>
      </c>
      <c r="CA43" s="445">
        <f ca="1">IFERROR(VLOOKUP(CA6+1,INDIRECT('Lookup Tables'!$K$4),4,FALSE),0)</f>
        <v>0</v>
      </c>
      <c r="CB43" s="177">
        <f ca="1">IFERROR(VLOOKUP(CB6+1,INDIRECT('Lookup Tables'!$K$4),4,FALSE),0)</f>
        <v>0</v>
      </c>
      <c r="CC43" s="177">
        <f ca="1">IFERROR(VLOOKUP(CC6+1,INDIRECT('Lookup Tables'!$K$4),4,FALSE),0)</f>
        <v>0</v>
      </c>
      <c r="CD43" s="177">
        <f ca="1">IFERROR(VLOOKUP(CD6+1,INDIRECT('Lookup Tables'!$K$4),4,FALSE),0)</f>
        <v>0</v>
      </c>
      <c r="CE43" s="177">
        <f ca="1">IFERROR(VLOOKUP(CE6+1,INDIRECT('Lookup Tables'!$K$4),4,FALSE),0)</f>
        <v>0</v>
      </c>
      <c r="CF43" s="177">
        <f ca="1">IFERROR(VLOOKUP(CF6+1,INDIRECT('Lookup Tables'!$K$4),4,FALSE),0)</f>
        <v>0</v>
      </c>
      <c r="CG43" s="177">
        <f ca="1">IFERROR(VLOOKUP(CG6+1,INDIRECT('Lookup Tables'!$K$4),4,FALSE),0)</f>
        <v>0</v>
      </c>
      <c r="CH43" s="177">
        <f ca="1">IFERROR(VLOOKUP(CH6+1,INDIRECT('Lookup Tables'!$K$4),4,FALSE),0)</f>
        <v>0</v>
      </c>
      <c r="CI43" s="177">
        <f ca="1">IFERROR(VLOOKUP(CI6+1,INDIRECT('Lookup Tables'!$K$4),4,FALSE),0)</f>
        <v>0</v>
      </c>
      <c r="CJ43" s="177">
        <f ca="1">IFERROR(VLOOKUP(CJ6+1,INDIRECT('Lookup Tables'!$K$4),4,FALSE),0)</f>
        <v>0</v>
      </c>
      <c r="CK43" s="177">
        <f ca="1">IFERROR(VLOOKUP(CK6+1,INDIRECT('Lookup Tables'!$K$4),4,FALSE),0)</f>
        <v>0</v>
      </c>
      <c r="CL43" s="177">
        <f ca="1">IFERROR(VLOOKUP(CL6+1,INDIRECT('Lookup Tables'!$K$4),4,FALSE),0)</f>
        <v>0</v>
      </c>
      <c r="CM43" s="177">
        <f ca="1">IFERROR(VLOOKUP(CM6+1,INDIRECT('Lookup Tables'!$K$4),4,FALSE),0)</f>
        <v>0</v>
      </c>
      <c r="CN43" s="177">
        <f ca="1">IFERROR(VLOOKUP(CN6+1,INDIRECT('Lookup Tables'!$K$4),4,FALSE),0)</f>
        <v>0</v>
      </c>
      <c r="CO43" s="177">
        <f ca="1">IFERROR(VLOOKUP(CO6+1,INDIRECT('Lookup Tables'!$K$4),4,FALSE),0)</f>
        <v>0</v>
      </c>
      <c r="CP43" s="177">
        <f ca="1">IFERROR(VLOOKUP(CP6+1,INDIRECT('Lookup Tables'!$K$4),4,FALSE),0)</f>
        <v>0</v>
      </c>
      <c r="CQ43" s="177">
        <f ca="1">IFERROR(VLOOKUP(CQ6+1,INDIRECT('Lookup Tables'!$K$4),4,FALSE),0)</f>
        <v>0</v>
      </c>
      <c r="CR43" s="177">
        <f ca="1">IFERROR(VLOOKUP(CR6+1,INDIRECT('Lookup Tables'!$K$4),4,FALSE),0)</f>
        <v>0</v>
      </c>
      <c r="CS43" s="177">
        <f ca="1">IFERROR(VLOOKUP(CS6+1,INDIRECT('Lookup Tables'!$K$4),4,FALSE),0)</f>
        <v>0</v>
      </c>
      <c r="CT43" s="177">
        <f ca="1">IFERROR(VLOOKUP(CT6+1,INDIRECT('Lookup Tables'!$K$4),4,FALSE),0)</f>
        <v>0</v>
      </c>
      <c r="CU43" s="177">
        <f ca="1">IFERROR(VLOOKUP(CU6+1,INDIRECT('Lookup Tables'!$K$4),4,FALSE),0)</f>
        <v>0</v>
      </c>
      <c r="CV43" s="177">
        <f ca="1">IFERROR(VLOOKUP(CV6+1,INDIRECT('Lookup Tables'!$K$4),4,FALSE),0)</f>
        <v>0</v>
      </c>
      <c r="CW43" s="177">
        <f ca="1">IFERROR(VLOOKUP(CW6+1,INDIRECT('Lookup Tables'!$K$4),4,FALSE),0)</f>
        <v>0</v>
      </c>
      <c r="CX43" s="177">
        <f ca="1">IFERROR(VLOOKUP(CX6+1,INDIRECT('Lookup Tables'!$K$4),4,FALSE),0)</f>
        <v>0</v>
      </c>
      <c r="CY43" s="177">
        <f ca="1">IFERROR(VLOOKUP(CY6+1,INDIRECT('Lookup Tables'!$K$4),4,FALSE),0)</f>
        <v>0</v>
      </c>
    </row>
    <row r="44" spans="1:103" ht="15" customHeight="1" thickBot="1" x14ac:dyDescent="0.25">
      <c r="A44" s="422" t="s">
        <v>4</v>
      </c>
      <c r="B44" s="423"/>
      <c r="C44" s="289" t="e">
        <f ca="1">SUM(C40:C43)</f>
        <v>#REF!</v>
      </c>
      <c r="D44" s="291" t="e">
        <f ca="1">SUM(D40:D43)</f>
        <v>#REF!</v>
      </c>
      <c r="E44" s="291">
        <f t="shared" ref="E44:AH44" ca="1" si="8">SUM(E40:E43)</f>
        <v>0</v>
      </c>
      <c r="F44" s="291">
        <f t="shared" ca="1" si="8"/>
        <v>0</v>
      </c>
      <c r="G44" s="291">
        <f t="shared" ca="1" si="8"/>
        <v>0</v>
      </c>
      <c r="H44" s="291">
        <f ca="1">SUM(H40:H43)</f>
        <v>0</v>
      </c>
      <c r="I44" s="291">
        <f t="shared" ca="1" si="8"/>
        <v>0</v>
      </c>
      <c r="J44" s="291">
        <f t="shared" ca="1" si="8"/>
        <v>0</v>
      </c>
      <c r="K44" s="291">
        <f t="shared" ca="1" si="8"/>
        <v>0</v>
      </c>
      <c r="L44" s="291">
        <f t="shared" ca="1" si="8"/>
        <v>0</v>
      </c>
      <c r="M44" s="291">
        <f t="shared" ca="1" si="8"/>
        <v>0</v>
      </c>
      <c r="N44" s="291">
        <f t="shared" ca="1" si="8"/>
        <v>0</v>
      </c>
      <c r="O44" s="291">
        <f t="shared" ca="1" si="8"/>
        <v>0</v>
      </c>
      <c r="P44" s="291">
        <f t="shared" ca="1" si="8"/>
        <v>0</v>
      </c>
      <c r="Q44" s="291">
        <f t="shared" ca="1" si="8"/>
        <v>0</v>
      </c>
      <c r="R44" s="291">
        <f ca="1">SUM(R40:R43)</f>
        <v>0</v>
      </c>
      <c r="S44" s="291">
        <f t="shared" ca="1" si="8"/>
        <v>0</v>
      </c>
      <c r="T44" s="291">
        <f t="shared" ca="1" si="8"/>
        <v>0</v>
      </c>
      <c r="U44" s="291">
        <f t="shared" ca="1" si="8"/>
        <v>0</v>
      </c>
      <c r="V44" s="291">
        <f t="shared" ca="1" si="8"/>
        <v>0</v>
      </c>
      <c r="W44" s="291">
        <f t="shared" ca="1" si="8"/>
        <v>0</v>
      </c>
      <c r="X44" s="291">
        <f t="shared" ca="1" si="8"/>
        <v>0</v>
      </c>
      <c r="Y44" s="291">
        <f t="shared" ca="1" si="8"/>
        <v>0</v>
      </c>
      <c r="Z44" s="291">
        <f t="shared" ca="1" si="8"/>
        <v>0</v>
      </c>
      <c r="AA44" s="291">
        <f t="shared" ca="1" si="8"/>
        <v>0</v>
      </c>
      <c r="AB44" s="291">
        <f ca="1">SUM(AB40:AB43)</f>
        <v>0</v>
      </c>
      <c r="AC44" s="291">
        <f t="shared" ca="1" si="8"/>
        <v>0</v>
      </c>
      <c r="AD44" s="291">
        <f t="shared" ca="1" si="8"/>
        <v>0</v>
      </c>
      <c r="AE44" s="291">
        <f t="shared" ca="1" si="8"/>
        <v>0</v>
      </c>
      <c r="AF44" s="291">
        <f t="shared" ca="1" si="8"/>
        <v>0</v>
      </c>
      <c r="AG44" s="291">
        <f t="shared" ca="1" si="8"/>
        <v>0</v>
      </c>
      <c r="AH44" s="291">
        <f t="shared" ca="1" si="8"/>
        <v>0</v>
      </c>
      <c r="AI44" s="291">
        <f t="shared" ref="AI44:BN44" ca="1" si="9">SUM(AI40:AI43)</f>
        <v>0</v>
      </c>
      <c r="AJ44" s="291">
        <f t="shared" ca="1" si="9"/>
        <v>0</v>
      </c>
      <c r="AK44" s="291">
        <f t="shared" ca="1" si="9"/>
        <v>0</v>
      </c>
      <c r="AL44" s="291">
        <f ca="1">SUM(AL40:AL43)</f>
        <v>0</v>
      </c>
      <c r="AM44" s="291">
        <f t="shared" ca="1" si="9"/>
        <v>0</v>
      </c>
      <c r="AN44" s="291">
        <f t="shared" ca="1" si="9"/>
        <v>0</v>
      </c>
      <c r="AO44" s="292">
        <f t="shared" ca="1" si="9"/>
        <v>0</v>
      </c>
      <c r="AP44" s="291">
        <f t="shared" ca="1" si="9"/>
        <v>0</v>
      </c>
      <c r="AQ44" s="291">
        <f ca="1">SUM(AQ40:AQ43)</f>
        <v>0</v>
      </c>
      <c r="AR44" s="291">
        <f t="shared" ca="1" si="9"/>
        <v>0</v>
      </c>
      <c r="AS44" s="291">
        <f t="shared" ca="1" si="9"/>
        <v>0</v>
      </c>
      <c r="AT44" s="291">
        <f t="shared" ca="1" si="9"/>
        <v>0</v>
      </c>
      <c r="AU44" s="291">
        <f t="shared" ca="1" si="9"/>
        <v>0</v>
      </c>
      <c r="AV44" s="291">
        <f ca="1">SUM(AV40:AV43)</f>
        <v>0</v>
      </c>
      <c r="AW44" s="291">
        <f t="shared" ca="1" si="9"/>
        <v>0</v>
      </c>
      <c r="AX44" s="291">
        <f t="shared" ca="1" si="9"/>
        <v>0</v>
      </c>
      <c r="AY44" s="291">
        <f t="shared" ca="1" si="9"/>
        <v>0</v>
      </c>
      <c r="AZ44" s="291">
        <f t="shared" ca="1" si="9"/>
        <v>0</v>
      </c>
      <c r="BA44" s="291">
        <f ca="1">SUM(BA40:BA43)</f>
        <v>0</v>
      </c>
      <c r="BB44" s="291">
        <f t="shared" ca="1" si="9"/>
        <v>0</v>
      </c>
      <c r="BC44" s="291">
        <f t="shared" ca="1" si="9"/>
        <v>0</v>
      </c>
      <c r="BD44" s="291">
        <f t="shared" ca="1" si="9"/>
        <v>0</v>
      </c>
      <c r="BE44" s="291">
        <f t="shared" ca="1" si="9"/>
        <v>0</v>
      </c>
      <c r="BF44" s="291">
        <f t="shared" ca="1" si="9"/>
        <v>0</v>
      </c>
      <c r="BG44" s="291">
        <f t="shared" ca="1" si="9"/>
        <v>0</v>
      </c>
      <c r="BH44" s="291">
        <f t="shared" ca="1" si="9"/>
        <v>0</v>
      </c>
      <c r="BI44" s="291">
        <f t="shared" ca="1" si="9"/>
        <v>0</v>
      </c>
      <c r="BJ44" s="291">
        <f t="shared" ca="1" si="9"/>
        <v>0</v>
      </c>
      <c r="BK44" s="292">
        <f t="shared" ca="1" si="9"/>
        <v>0</v>
      </c>
      <c r="BL44" s="291">
        <f t="shared" ca="1" si="9"/>
        <v>0</v>
      </c>
      <c r="BM44" s="291">
        <f t="shared" ca="1" si="9"/>
        <v>0</v>
      </c>
      <c r="BN44" s="291">
        <f t="shared" ca="1" si="9"/>
        <v>0</v>
      </c>
      <c r="BO44" s="291">
        <f t="shared" ref="BO44:CT44" ca="1" si="10">SUM(BO40:BO43)</f>
        <v>0</v>
      </c>
      <c r="BP44" s="291">
        <f t="shared" ca="1" si="10"/>
        <v>0</v>
      </c>
      <c r="BQ44" s="291">
        <f t="shared" ca="1" si="10"/>
        <v>0</v>
      </c>
      <c r="BR44" s="291">
        <f t="shared" ca="1" si="10"/>
        <v>0</v>
      </c>
      <c r="BS44" s="291">
        <f t="shared" ca="1" si="10"/>
        <v>0</v>
      </c>
      <c r="BT44" s="291">
        <f t="shared" ca="1" si="10"/>
        <v>0</v>
      </c>
      <c r="BU44" s="291">
        <f t="shared" ca="1" si="10"/>
        <v>0</v>
      </c>
      <c r="BV44" s="291">
        <f t="shared" ca="1" si="10"/>
        <v>0</v>
      </c>
      <c r="BW44" s="291">
        <f t="shared" ca="1" si="10"/>
        <v>0</v>
      </c>
      <c r="BX44" s="291">
        <f t="shared" ca="1" si="10"/>
        <v>0</v>
      </c>
      <c r="BY44" s="291">
        <f t="shared" ca="1" si="10"/>
        <v>0</v>
      </c>
      <c r="BZ44" s="291">
        <f t="shared" ca="1" si="10"/>
        <v>0</v>
      </c>
      <c r="CA44" s="292">
        <f t="shared" ca="1" si="10"/>
        <v>0</v>
      </c>
      <c r="CB44" s="291">
        <f t="shared" ca="1" si="10"/>
        <v>0</v>
      </c>
      <c r="CC44" s="291">
        <f t="shared" ca="1" si="10"/>
        <v>0</v>
      </c>
      <c r="CD44" s="291">
        <f t="shared" ca="1" si="10"/>
        <v>0</v>
      </c>
      <c r="CE44" s="291">
        <f t="shared" ca="1" si="10"/>
        <v>0</v>
      </c>
      <c r="CF44" s="291">
        <f t="shared" ca="1" si="10"/>
        <v>0</v>
      </c>
      <c r="CG44" s="291">
        <f t="shared" ca="1" si="10"/>
        <v>0</v>
      </c>
      <c r="CH44" s="291">
        <f t="shared" ca="1" si="10"/>
        <v>0</v>
      </c>
      <c r="CI44" s="291">
        <f t="shared" ca="1" si="10"/>
        <v>0</v>
      </c>
      <c r="CJ44" s="291">
        <f t="shared" ca="1" si="10"/>
        <v>0</v>
      </c>
      <c r="CK44" s="291">
        <f t="shared" ca="1" si="10"/>
        <v>0</v>
      </c>
      <c r="CL44" s="291">
        <f t="shared" ca="1" si="10"/>
        <v>0</v>
      </c>
      <c r="CM44" s="291">
        <f t="shared" ca="1" si="10"/>
        <v>0</v>
      </c>
      <c r="CN44" s="291">
        <f t="shared" ca="1" si="10"/>
        <v>0</v>
      </c>
      <c r="CO44" s="291">
        <f t="shared" ca="1" si="10"/>
        <v>0</v>
      </c>
      <c r="CP44" s="291">
        <f t="shared" ca="1" si="10"/>
        <v>0</v>
      </c>
      <c r="CQ44" s="291">
        <f t="shared" ca="1" si="10"/>
        <v>0</v>
      </c>
      <c r="CR44" s="291">
        <f t="shared" ca="1" si="10"/>
        <v>0</v>
      </c>
      <c r="CS44" s="291">
        <f t="shared" ca="1" si="10"/>
        <v>0</v>
      </c>
      <c r="CT44" s="291">
        <f t="shared" ca="1" si="10"/>
        <v>0</v>
      </c>
      <c r="CU44" s="291">
        <f ca="1">SUM(CU40:CU43)</f>
        <v>0</v>
      </c>
      <c r="CV44" s="291">
        <f ca="1">SUM(CV40:CV43)</f>
        <v>0</v>
      </c>
      <c r="CW44" s="291">
        <f ca="1">SUM(CW40:CW43)</f>
        <v>0</v>
      </c>
      <c r="CX44" s="291">
        <f ca="1">SUM(CX40:CX43)</f>
        <v>0</v>
      </c>
      <c r="CY44" s="291">
        <f ca="1">SUM(CY40:CY43)</f>
        <v>0</v>
      </c>
    </row>
    <row r="45" spans="1:103" s="468" customFormat="1" ht="15" customHeight="1" thickTop="1" x14ac:dyDescent="0.2">
      <c r="A45" s="118" t="s">
        <v>5</v>
      </c>
      <c r="B45" s="119"/>
      <c r="C45" s="421" t="e">
        <f t="shared" ref="C45:AH45" ca="1" si="11">C39+C44+C34</f>
        <v>#REF!</v>
      </c>
      <c r="D45" s="287" t="e">
        <f t="shared" ca="1" si="11"/>
        <v>#REF!</v>
      </c>
      <c r="E45" s="287">
        <f t="shared" ca="1" si="11"/>
        <v>0</v>
      </c>
      <c r="F45" s="287">
        <f t="shared" ca="1" si="11"/>
        <v>0</v>
      </c>
      <c r="G45" s="287">
        <f t="shared" ca="1" si="11"/>
        <v>0</v>
      </c>
      <c r="H45" s="287">
        <f t="shared" ca="1" si="11"/>
        <v>0</v>
      </c>
      <c r="I45" s="287">
        <f t="shared" ca="1" si="11"/>
        <v>0</v>
      </c>
      <c r="J45" s="287">
        <f t="shared" ca="1" si="11"/>
        <v>0</v>
      </c>
      <c r="K45" s="287">
        <f t="shared" ca="1" si="11"/>
        <v>0</v>
      </c>
      <c r="L45" s="287">
        <f t="shared" ca="1" si="11"/>
        <v>0</v>
      </c>
      <c r="M45" s="287">
        <f t="shared" ca="1" si="11"/>
        <v>0</v>
      </c>
      <c r="N45" s="287">
        <f t="shared" ca="1" si="11"/>
        <v>0</v>
      </c>
      <c r="O45" s="287">
        <f t="shared" ca="1" si="11"/>
        <v>0</v>
      </c>
      <c r="P45" s="287">
        <f t="shared" ca="1" si="11"/>
        <v>0</v>
      </c>
      <c r="Q45" s="287">
        <f t="shared" ca="1" si="11"/>
        <v>0</v>
      </c>
      <c r="R45" s="287">
        <f t="shared" ca="1" si="11"/>
        <v>0</v>
      </c>
      <c r="S45" s="287">
        <f t="shared" ca="1" si="11"/>
        <v>0</v>
      </c>
      <c r="T45" s="287">
        <f t="shared" ca="1" si="11"/>
        <v>0</v>
      </c>
      <c r="U45" s="287">
        <f t="shared" ca="1" si="11"/>
        <v>0</v>
      </c>
      <c r="V45" s="287">
        <f t="shared" ca="1" si="11"/>
        <v>0</v>
      </c>
      <c r="W45" s="287">
        <f t="shared" ca="1" si="11"/>
        <v>0</v>
      </c>
      <c r="X45" s="287">
        <f t="shared" ca="1" si="11"/>
        <v>0</v>
      </c>
      <c r="Y45" s="287">
        <f t="shared" ca="1" si="11"/>
        <v>0</v>
      </c>
      <c r="Z45" s="287">
        <f t="shared" ca="1" si="11"/>
        <v>0</v>
      </c>
      <c r="AA45" s="287">
        <f t="shared" ca="1" si="11"/>
        <v>0</v>
      </c>
      <c r="AB45" s="287">
        <f t="shared" ca="1" si="11"/>
        <v>0</v>
      </c>
      <c r="AC45" s="287">
        <f t="shared" ca="1" si="11"/>
        <v>0</v>
      </c>
      <c r="AD45" s="287">
        <f t="shared" ca="1" si="11"/>
        <v>0</v>
      </c>
      <c r="AE45" s="287">
        <f t="shared" ca="1" si="11"/>
        <v>0</v>
      </c>
      <c r="AF45" s="287">
        <f t="shared" ca="1" si="11"/>
        <v>0</v>
      </c>
      <c r="AG45" s="287">
        <f t="shared" ca="1" si="11"/>
        <v>0</v>
      </c>
      <c r="AH45" s="287">
        <f t="shared" ca="1" si="11"/>
        <v>0</v>
      </c>
      <c r="AI45" s="287">
        <f t="shared" ref="AI45:BN45" ca="1" si="12">AI39+AI44+AI34</f>
        <v>0</v>
      </c>
      <c r="AJ45" s="287">
        <f t="shared" ca="1" si="12"/>
        <v>0</v>
      </c>
      <c r="AK45" s="287">
        <f t="shared" ca="1" si="12"/>
        <v>0</v>
      </c>
      <c r="AL45" s="287">
        <f t="shared" ca="1" si="12"/>
        <v>0</v>
      </c>
      <c r="AM45" s="287">
        <f t="shared" ca="1" si="12"/>
        <v>0</v>
      </c>
      <c r="AN45" s="287">
        <f t="shared" ca="1" si="12"/>
        <v>0</v>
      </c>
      <c r="AO45" s="288">
        <f t="shared" ca="1" si="12"/>
        <v>0</v>
      </c>
      <c r="AP45" s="287">
        <f t="shared" ca="1" si="12"/>
        <v>0</v>
      </c>
      <c r="AQ45" s="287">
        <f t="shared" ca="1" si="12"/>
        <v>0</v>
      </c>
      <c r="AR45" s="287">
        <f t="shared" ca="1" si="12"/>
        <v>0</v>
      </c>
      <c r="AS45" s="287">
        <f t="shared" ca="1" si="12"/>
        <v>0</v>
      </c>
      <c r="AT45" s="287">
        <f t="shared" ca="1" si="12"/>
        <v>0</v>
      </c>
      <c r="AU45" s="287">
        <f t="shared" ca="1" si="12"/>
        <v>0</v>
      </c>
      <c r="AV45" s="287">
        <f t="shared" ca="1" si="12"/>
        <v>0</v>
      </c>
      <c r="AW45" s="287">
        <f t="shared" ca="1" si="12"/>
        <v>0</v>
      </c>
      <c r="AX45" s="287">
        <f t="shared" ca="1" si="12"/>
        <v>0</v>
      </c>
      <c r="AY45" s="287">
        <f t="shared" ca="1" si="12"/>
        <v>0</v>
      </c>
      <c r="AZ45" s="287">
        <f t="shared" ca="1" si="12"/>
        <v>0</v>
      </c>
      <c r="BA45" s="287">
        <f t="shared" ca="1" si="12"/>
        <v>0</v>
      </c>
      <c r="BB45" s="287">
        <f t="shared" ca="1" si="12"/>
        <v>0</v>
      </c>
      <c r="BC45" s="287">
        <f t="shared" ca="1" si="12"/>
        <v>0</v>
      </c>
      <c r="BD45" s="287">
        <f t="shared" ca="1" si="12"/>
        <v>0</v>
      </c>
      <c r="BE45" s="287">
        <f t="shared" ca="1" si="12"/>
        <v>0</v>
      </c>
      <c r="BF45" s="287">
        <f t="shared" ca="1" si="12"/>
        <v>0</v>
      </c>
      <c r="BG45" s="287">
        <f t="shared" ca="1" si="12"/>
        <v>0</v>
      </c>
      <c r="BH45" s="287">
        <f t="shared" ca="1" si="12"/>
        <v>0</v>
      </c>
      <c r="BI45" s="287">
        <f t="shared" ca="1" si="12"/>
        <v>0</v>
      </c>
      <c r="BJ45" s="287">
        <f t="shared" ca="1" si="12"/>
        <v>0</v>
      </c>
      <c r="BK45" s="288">
        <f t="shared" ca="1" si="12"/>
        <v>0</v>
      </c>
      <c r="BL45" s="287">
        <f t="shared" ca="1" si="12"/>
        <v>0</v>
      </c>
      <c r="BM45" s="287">
        <f t="shared" ca="1" si="12"/>
        <v>0</v>
      </c>
      <c r="BN45" s="287">
        <f t="shared" ca="1" si="12"/>
        <v>0</v>
      </c>
      <c r="BO45" s="287">
        <f t="shared" ref="BO45:CT45" ca="1" si="13">BO39+BO44+BO34</f>
        <v>0</v>
      </c>
      <c r="BP45" s="287">
        <f t="shared" ca="1" si="13"/>
        <v>0</v>
      </c>
      <c r="BQ45" s="287">
        <f t="shared" ca="1" si="13"/>
        <v>0</v>
      </c>
      <c r="BR45" s="287">
        <f t="shared" ca="1" si="13"/>
        <v>0</v>
      </c>
      <c r="BS45" s="287">
        <f t="shared" ca="1" si="13"/>
        <v>0</v>
      </c>
      <c r="BT45" s="287">
        <f t="shared" ca="1" si="13"/>
        <v>0</v>
      </c>
      <c r="BU45" s="287">
        <f t="shared" ca="1" si="13"/>
        <v>0</v>
      </c>
      <c r="BV45" s="287">
        <f t="shared" ca="1" si="13"/>
        <v>0</v>
      </c>
      <c r="BW45" s="287">
        <f t="shared" ca="1" si="13"/>
        <v>0</v>
      </c>
      <c r="BX45" s="287">
        <f t="shared" ca="1" si="13"/>
        <v>0</v>
      </c>
      <c r="BY45" s="287">
        <f t="shared" ca="1" si="13"/>
        <v>0</v>
      </c>
      <c r="BZ45" s="287">
        <f t="shared" ca="1" si="13"/>
        <v>0</v>
      </c>
      <c r="CA45" s="288">
        <f t="shared" ca="1" si="13"/>
        <v>0</v>
      </c>
      <c r="CB45" s="287">
        <f t="shared" ca="1" si="13"/>
        <v>0</v>
      </c>
      <c r="CC45" s="287">
        <f t="shared" ca="1" si="13"/>
        <v>0</v>
      </c>
      <c r="CD45" s="287">
        <f t="shared" ca="1" si="13"/>
        <v>0</v>
      </c>
      <c r="CE45" s="287">
        <f t="shared" ca="1" si="13"/>
        <v>0</v>
      </c>
      <c r="CF45" s="287">
        <f t="shared" ca="1" si="13"/>
        <v>0</v>
      </c>
      <c r="CG45" s="287">
        <f t="shared" ca="1" si="13"/>
        <v>0</v>
      </c>
      <c r="CH45" s="287">
        <f t="shared" ca="1" si="13"/>
        <v>0</v>
      </c>
      <c r="CI45" s="287">
        <f t="shared" ca="1" si="13"/>
        <v>0</v>
      </c>
      <c r="CJ45" s="287">
        <f t="shared" ca="1" si="13"/>
        <v>0</v>
      </c>
      <c r="CK45" s="287">
        <f t="shared" ca="1" si="13"/>
        <v>0</v>
      </c>
      <c r="CL45" s="287">
        <f t="shared" ca="1" si="13"/>
        <v>0</v>
      </c>
      <c r="CM45" s="287">
        <f t="shared" ca="1" si="13"/>
        <v>0</v>
      </c>
      <c r="CN45" s="287">
        <f t="shared" ca="1" si="13"/>
        <v>0</v>
      </c>
      <c r="CO45" s="287">
        <f t="shared" ca="1" si="13"/>
        <v>0</v>
      </c>
      <c r="CP45" s="287">
        <f t="shared" ca="1" si="13"/>
        <v>0</v>
      </c>
      <c r="CQ45" s="287">
        <f t="shared" ca="1" si="13"/>
        <v>0</v>
      </c>
      <c r="CR45" s="287">
        <f t="shared" ca="1" si="13"/>
        <v>0</v>
      </c>
      <c r="CS45" s="287">
        <f t="shared" ca="1" si="13"/>
        <v>0</v>
      </c>
      <c r="CT45" s="287">
        <f t="shared" ca="1" si="13"/>
        <v>0</v>
      </c>
      <c r="CU45" s="287">
        <f ca="1">CU39+CU44+CU34</f>
        <v>0</v>
      </c>
      <c r="CV45" s="287">
        <f ca="1">CV39+CV44+CV34</f>
        <v>0</v>
      </c>
      <c r="CW45" s="287">
        <f ca="1">CW39+CW44+CW34</f>
        <v>0</v>
      </c>
      <c r="CX45" s="287">
        <f ca="1">CX39+CX44+CX34</f>
        <v>0</v>
      </c>
      <c r="CY45" s="287">
        <f ca="1">CY39+CY44+CY34</f>
        <v>0</v>
      </c>
    </row>
    <row r="46" spans="1:103" ht="15" customHeight="1" x14ac:dyDescent="0.2">
      <c r="A46" s="44"/>
      <c r="B46" s="14"/>
      <c r="C46" s="270"/>
      <c r="D46" s="45"/>
      <c r="E46" s="45"/>
      <c r="F46" s="45"/>
      <c r="G46" s="45"/>
      <c r="H46" s="45"/>
      <c r="I46" s="45"/>
      <c r="J46" s="45"/>
      <c r="K46" s="45"/>
      <c r="L46" s="45"/>
      <c r="M46" s="45"/>
      <c r="N46" s="45"/>
      <c r="O46" s="45"/>
      <c r="P46" s="45"/>
      <c r="Q46" s="45"/>
      <c r="R46" s="45"/>
      <c r="S46" s="45"/>
      <c r="T46" s="45"/>
      <c r="U46" s="45"/>
      <c r="V46" s="45"/>
      <c r="W46" s="45"/>
      <c r="X46" s="45"/>
      <c r="Y46" s="45"/>
      <c r="Z46" s="45"/>
      <c r="AA46" s="45"/>
      <c r="AB46" s="45"/>
      <c r="AC46" s="45"/>
      <c r="AD46" s="45"/>
      <c r="AE46" s="45"/>
      <c r="AF46" s="45"/>
      <c r="AG46" s="45"/>
      <c r="AH46" s="45"/>
      <c r="AI46" s="45"/>
      <c r="AJ46" s="45"/>
      <c r="AK46" s="45"/>
      <c r="AL46" s="45"/>
      <c r="AM46" s="45"/>
      <c r="AN46" s="45"/>
      <c r="AO46" s="147"/>
      <c r="AP46" s="45"/>
      <c r="AQ46" s="45"/>
      <c r="AR46" s="45"/>
      <c r="AS46" s="45"/>
      <c r="AT46" s="45"/>
      <c r="AU46" s="45"/>
      <c r="AV46" s="45"/>
      <c r="AW46" s="45"/>
      <c r="AX46" s="45"/>
      <c r="AY46" s="45"/>
      <c r="AZ46" s="45"/>
      <c r="BA46" s="45"/>
      <c r="BB46" s="45"/>
      <c r="BC46" s="45"/>
      <c r="BD46" s="45"/>
      <c r="BE46" s="45"/>
      <c r="BF46" s="45"/>
      <c r="BG46" s="45"/>
      <c r="BH46" s="45"/>
      <c r="BI46" s="45"/>
      <c r="BJ46" s="45"/>
      <c r="BK46" s="147"/>
      <c r="BL46" s="45"/>
      <c r="BM46" s="45"/>
      <c r="BN46" s="45"/>
      <c r="BO46" s="45"/>
      <c r="BP46" s="45"/>
      <c r="BQ46" s="45"/>
      <c r="BR46" s="45"/>
      <c r="BS46" s="45"/>
      <c r="BT46" s="45"/>
      <c r="BU46" s="45"/>
      <c r="BV46" s="45"/>
      <c r="BW46" s="45"/>
      <c r="BX46" s="45"/>
      <c r="BY46" s="45"/>
      <c r="BZ46" s="45"/>
      <c r="CA46" s="147"/>
      <c r="CB46" s="45"/>
      <c r="CC46" s="45"/>
      <c r="CD46" s="45"/>
      <c r="CE46" s="45"/>
      <c r="CF46" s="45"/>
      <c r="CG46" s="45"/>
      <c r="CH46" s="45"/>
      <c r="CI46" s="45"/>
      <c r="CJ46" s="45"/>
      <c r="CK46" s="45"/>
      <c r="CL46" s="45"/>
      <c r="CM46" s="45"/>
      <c r="CN46" s="45"/>
      <c r="CO46" s="45"/>
      <c r="CP46" s="45"/>
      <c r="CQ46" s="45"/>
      <c r="CR46" s="45"/>
      <c r="CS46" s="45"/>
      <c r="CT46" s="45"/>
      <c r="CU46" s="45"/>
      <c r="CV46" s="45"/>
      <c r="CW46" s="45"/>
      <c r="CX46" s="45"/>
      <c r="CY46" s="45"/>
    </row>
    <row r="47" spans="1:103" ht="15" customHeight="1" x14ac:dyDescent="0.2">
      <c r="A47" s="38" t="s">
        <v>6</v>
      </c>
      <c r="B47" s="39" t="s">
        <v>41</v>
      </c>
      <c r="C47" s="268"/>
      <c r="D47" s="43"/>
      <c r="E47" s="43"/>
      <c r="F47" s="43"/>
      <c r="G47" s="43"/>
      <c r="H47" s="43"/>
      <c r="I47" s="43"/>
      <c r="J47" s="43"/>
      <c r="K47" s="43"/>
      <c r="L47" s="43"/>
      <c r="M47" s="43"/>
      <c r="N47" s="43"/>
      <c r="O47" s="43"/>
      <c r="P47" s="43"/>
      <c r="Q47" s="43"/>
      <c r="R47" s="43"/>
      <c r="S47" s="43"/>
      <c r="T47" s="43"/>
      <c r="U47" s="43"/>
      <c r="V47" s="43"/>
      <c r="W47" s="43"/>
      <c r="X47" s="43"/>
      <c r="Y47" s="43"/>
      <c r="Z47" s="43"/>
      <c r="AA47" s="43"/>
      <c r="AB47" s="43"/>
      <c r="AC47" s="43"/>
      <c r="AD47" s="43"/>
      <c r="AE47" s="43"/>
      <c r="AF47" s="43"/>
      <c r="AG47" s="43"/>
      <c r="AH47" s="43"/>
      <c r="AI47" s="43"/>
      <c r="AJ47" s="43"/>
      <c r="AK47" s="43"/>
      <c r="AL47" s="43"/>
      <c r="AM47" s="43"/>
      <c r="AN47" s="43"/>
      <c r="AO47" s="148"/>
      <c r="AP47" s="43"/>
      <c r="AQ47" s="43"/>
      <c r="AR47" s="43"/>
      <c r="AS47" s="43"/>
      <c r="AT47" s="43"/>
      <c r="AU47" s="43"/>
      <c r="AV47" s="43"/>
      <c r="AW47" s="43"/>
      <c r="AX47" s="43"/>
      <c r="AY47" s="43"/>
      <c r="AZ47" s="43"/>
      <c r="BA47" s="43"/>
      <c r="BB47" s="43"/>
      <c r="BC47" s="43"/>
      <c r="BD47" s="43"/>
      <c r="BE47" s="43"/>
      <c r="BF47" s="43"/>
      <c r="BG47" s="43"/>
      <c r="BH47" s="43"/>
      <c r="BI47" s="43"/>
      <c r="BJ47" s="43"/>
      <c r="BK47" s="148"/>
      <c r="BL47" s="43"/>
      <c r="BM47" s="43"/>
      <c r="BN47" s="43"/>
      <c r="BO47" s="43"/>
      <c r="BP47" s="43"/>
      <c r="BQ47" s="43"/>
      <c r="BR47" s="43"/>
      <c r="BS47" s="43"/>
      <c r="BT47" s="43"/>
      <c r="BU47" s="43"/>
      <c r="BV47" s="43"/>
      <c r="BW47" s="43"/>
      <c r="BX47" s="43"/>
      <c r="BY47" s="43"/>
      <c r="BZ47" s="43"/>
      <c r="CA47" s="148"/>
      <c r="CB47" s="43"/>
      <c r="CC47" s="43"/>
      <c r="CD47" s="43"/>
      <c r="CE47" s="43"/>
      <c r="CF47" s="43"/>
      <c r="CG47" s="43"/>
      <c r="CH47" s="43"/>
      <c r="CI47" s="43"/>
      <c r="CJ47" s="43"/>
      <c r="CK47" s="43"/>
      <c r="CL47" s="43"/>
      <c r="CM47" s="43"/>
      <c r="CN47" s="43"/>
      <c r="CO47" s="43"/>
      <c r="CP47" s="43"/>
      <c r="CQ47" s="43"/>
      <c r="CR47" s="43"/>
      <c r="CS47" s="43"/>
      <c r="CT47" s="43"/>
      <c r="CU47" s="43"/>
      <c r="CV47" s="43"/>
      <c r="CW47" s="43"/>
      <c r="CX47" s="43"/>
      <c r="CY47" s="43"/>
    </row>
    <row r="48" spans="1:103" ht="15" customHeight="1" x14ac:dyDescent="0.2">
      <c r="A48" s="1059" t="s">
        <v>530</v>
      </c>
      <c r="B48" s="31" t="s">
        <v>17</v>
      </c>
      <c r="C48" s="269">
        <f>SUM(D48:CY48)</f>
        <v>0</v>
      </c>
      <c r="D48" s="466">
        <f>'Data Entry'!B80</f>
        <v>0</v>
      </c>
      <c r="E48" s="459"/>
      <c r="F48" s="459"/>
      <c r="G48" s="459"/>
      <c r="H48" s="459"/>
      <c r="I48" s="459"/>
      <c r="J48" s="459"/>
      <c r="K48" s="459"/>
      <c r="L48" s="459"/>
      <c r="M48" s="459"/>
      <c r="N48" s="459"/>
      <c r="O48" s="459"/>
      <c r="P48" s="459"/>
      <c r="Q48" s="459"/>
      <c r="R48" s="459"/>
      <c r="S48" s="459"/>
      <c r="T48" s="459"/>
      <c r="U48" s="459"/>
      <c r="V48" s="459"/>
      <c r="W48" s="459"/>
      <c r="X48" s="459"/>
      <c r="Y48" s="459"/>
      <c r="Z48" s="459"/>
      <c r="AA48" s="459"/>
      <c r="AB48" s="459"/>
      <c r="AC48" s="459"/>
      <c r="AD48" s="459"/>
      <c r="AE48" s="459"/>
      <c r="AF48" s="459"/>
      <c r="AG48" s="459"/>
      <c r="AH48" s="459"/>
      <c r="AI48" s="459"/>
      <c r="AJ48" s="459"/>
      <c r="AK48" s="459"/>
      <c r="AL48" s="459"/>
      <c r="AM48" s="459"/>
      <c r="AN48" s="459"/>
      <c r="AO48" s="460"/>
      <c r="AP48" s="459"/>
      <c r="AQ48" s="459"/>
      <c r="AR48" s="459"/>
      <c r="AS48" s="459"/>
      <c r="AT48" s="459"/>
      <c r="AU48" s="459"/>
      <c r="AV48" s="459"/>
      <c r="AW48" s="459"/>
      <c r="AX48" s="459"/>
      <c r="AY48" s="459"/>
      <c r="AZ48" s="459"/>
      <c r="BA48" s="459"/>
      <c r="BB48" s="459"/>
      <c r="BC48" s="459"/>
      <c r="BD48" s="459"/>
      <c r="BE48" s="459"/>
      <c r="BF48" s="459"/>
      <c r="BG48" s="459"/>
      <c r="BH48" s="459"/>
      <c r="BI48" s="459"/>
      <c r="BJ48" s="459"/>
      <c r="BK48" s="460"/>
      <c r="BL48" s="459"/>
      <c r="BM48" s="459"/>
      <c r="BN48" s="459"/>
      <c r="BO48" s="459"/>
      <c r="BP48" s="459"/>
      <c r="BQ48" s="459"/>
      <c r="BR48" s="459"/>
      <c r="BS48" s="459"/>
      <c r="BT48" s="459"/>
      <c r="BU48" s="459"/>
      <c r="BV48" s="459"/>
      <c r="BW48" s="459"/>
      <c r="BX48" s="459"/>
      <c r="BY48" s="459"/>
      <c r="BZ48" s="459"/>
      <c r="CA48" s="460"/>
      <c r="CB48" s="459"/>
      <c r="CC48" s="459"/>
      <c r="CD48" s="459"/>
      <c r="CE48" s="459"/>
      <c r="CF48" s="459"/>
      <c r="CG48" s="459"/>
      <c r="CH48" s="459"/>
      <c r="CI48" s="459"/>
      <c r="CJ48" s="459"/>
      <c r="CK48" s="459"/>
      <c r="CL48" s="459"/>
      <c r="CM48" s="459"/>
      <c r="CN48" s="459"/>
      <c r="CO48" s="459"/>
      <c r="CP48" s="459"/>
      <c r="CQ48" s="459"/>
      <c r="CR48" s="459"/>
      <c r="CS48" s="459"/>
      <c r="CT48" s="459"/>
      <c r="CU48" s="459"/>
      <c r="CV48" s="459"/>
      <c r="CW48" s="459"/>
      <c r="CX48" s="459"/>
      <c r="CY48" s="459"/>
    </row>
    <row r="49" spans="1:103" ht="15" customHeight="1" x14ac:dyDescent="0.2">
      <c r="A49" s="1059"/>
      <c r="B49" s="31" t="s">
        <v>18</v>
      </c>
      <c r="C49" s="269">
        <f>SUM(D49:CY49)</f>
        <v>0</v>
      </c>
      <c r="D49" s="466">
        <f>'Data Entry'!B81</f>
        <v>0</v>
      </c>
      <c r="E49" s="459"/>
      <c r="F49" s="459"/>
      <c r="G49" s="459"/>
      <c r="H49" s="459"/>
      <c r="I49" s="459"/>
      <c r="J49" s="459"/>
      <c r="K49" s="459"/>
      <c r="L49" s="459"/>
      <c r="M49" s="459"/>
      <c r="N49" s="459"/>
      <c r="O49" s="459"/>
      <c r="P49" s="459"/>
      <c r="Q49" s="459"/>
      <c r="R49" s="459"/>
      <c r="S49" s="459"/>
      <c r="T49" s="459"/>
      <c r="U49" s="459"/>
      <c r="V49" s="459"/>
      <c r="W49" s="459"/>
      <c r="X49" s="459"/>
      <c r="Y49" s="459"/>
      <c r="Z49" s="459"/>
      <c r="AA49" s="459"/>
      <c r="AB49" s="459"/>
      <c r="AC49" s="459"/>
      <c r="AD49" s="459"/>
      <c r="AE49" s="459"/>
      <c r="AF49" s="459"/>
      <c r="AG49" s="459"/>
      <c r="AH49" s="459"/>
      <c r="AI49" s="459"/>
      <c r="AJ49" s="459"/>
      <c r="AK49" s="459"/>
      <c r="AL49" s="459"/>
      <c r="AM49" s="459"/>
      <c r="AN49" s="459"/>
      <c r="AO49" s="460"/>
      <c r="AP49" s="459"/>
      <c r="AQ49" s="459"/>
      <c r="AR49" s="459"/>
      <c r="AS49" s="459"/>
      <c r="AT49" s="459"/>
      <c r="AU49" s="459"/>
      <c r="AV49" s="459"/>
      <c r="AW49" s="459"/>
      <c r="AX49" s="459"/>
      <c r="AY49" s="459"/>
      <c r="AZ49" s="459"/>
      <c r="BA49" s="459"/>
      <c r="BB49" s="459"/>
      <c r="BC49" s="459"/>
      <c r="BD49" s="459"/>
      <c r="BE49" s="459"/>
      <c r="BF49" s="459"/>
      <c r="BG49" s="459"/>
      <c r="BH49" s="459"/>
      <c r="BI49" s="459"/>
      <c r="BJ49" s="459"/>
      <c r="BK49" s="460"/>
      <c r="BL49" s="459"/>
      <c r="BM49" s="459"/>
      <c r="BN49" s="459"/>
      <c r="BO49" s="459"/>
      <c r="BP49" s="459"/>
      <c r="BQ49" s="459"/>
      <c r="BR49" s="459"/>
      <c r="BS49" s="459"/>
      <c r="BT49" s="459"/>
      <c r="BU49" s="459"/>
      <c r="BV49" s="459"/>
      <c r="BW49" s="459"/>
      <c r="BX49" s="459"/>
      <c r="BY49" s="459"/>
      <c r="BZ49" s="459"/>
      <c r="CA49" s="460"/>
      <c r="CB49" s="459"/>
      <c r="CC49" s="459"/>
      <c r="CD49" s="459"/>
      <c r="CE49" s="459"/>
      <c r="CF49" s="459"/>
      <c r="CG49" s="459"/>
      <c r="CH49" s="459"/>
      <c r="CI49" s="459"/>
      <c r="CJ49" s="459"/>
      <c r="CK49" s="459"/>
      <c r="CL49" s="459"/>
      <c r="CM49" s="459"/>
      <c r="CN49" s="459"/>
      <c r="CO49" s="459"/>
      <c r="CP49" s="459"/>
      <c r="CQ49" s="459"/>
      <c r="CR49" s="459"/>
      <c r="CS49" s="459"/>
      <c r="CT49" s="459"/>
      <c r="CU49" s="459"/>
      <c r="CV49" s="459"/>
      <c r="CW49" s="459"/>
      <c r="CX49" s="459"/>
      <c r="CY49" s="459"/>
    </row>
    <row r="50" spans="1:103" ht="15" customHeight="1" x14ac:dyDescent="0.2">
      <c r="A50" s="1059"/>
      <c r="B50" s="31" t="s">
        <v>208</v>
      </c>
      <c r="C50" s="269">
        <f>SUM(D50:CY50)</f>
        <v>0</v>
      </c>
      <c r="D50" s="459"/>
      <c r="E50" s="177">
        <f>IF(E6&lt;='Data Entry'!$C$82,'Data Entry'!$B82,0)</f>
        <v>0</v>
      </c>
      <c r="F50" s="177">
        <f>IF(F6&lt;='Data Entry'!$C$82,'Data Entry'!$B82,0)</f>
        <v>0</v>
      </c>
      <c r="G50" s="177">
        <f>IF(G6&lt;='Data Entry'!$C$82,'Data Entry'!$B82,0)</f>
        <v>0</v>
      </c>
      <c r="H50" s="177">
        <f>IF(H6&lt;='Data Entry'!$C$82,'Data Entry'!$B82,0)</f>
        <v>0</v>
      </c>
      <c r="I50" s="177">
        <f>IF(I6&lt;='Data Entry'!$C$82,'Data Entry'!$B82,0)</f>
        <v>0</v>
      </c>
      <c r="J50" s="177">
        <f>IF(J6&lt;='Data Entry'!$C$82,'Data Entry'!$B82,0)</f>
        <v>0</v>
      </c>
      <c r="K50" s="177">
        <f>IF(K6&lt;='Data Entry'!$C$82,'Data Entry'!$B82,0)</f>
        <v>0</v>
      </c>
      <c r="L50" s="177">
        <f>IF(L6&lt;='Data Entry'!$C$82,'Data Entry'!$B82,0)</f>
        <v>0</v>
      </c>
      <c r="M50" s="177">
        <f>IF(M6&lt;='Data Entry'!$C$82,'Data Entry'!$B82,0)</f>
        <v>0</v>
      </c>
      <c r="N50" s="177">
        <f>IF(N6&lt;='Data Entry'!$C$82,'Data Entry'!$B82,0)</f>
        <v>0</v>
      </c>
      <c r="O50" s="177">
        <f>IF(O6&lt;='Data Entry'!$C$82,'Data Entry'!$B82,0)</f>
        <v>0</v>
      </c>
      <c r="P50" s="177">
        <f>IF(P6&lt;='Data Entry'!$C$82,'Data Entry'!$B82,0)</f>
        <v>0</v>
      </c>
      <c r="Q50" s="177">
        <f>IF(Q6&lt;='Data Entry'!$C$82,'Data Entry'!$B82,0)</f>
        <v>0</v>
      </c>
      <c r="R50" s="177">
        <f>IF(R6&lt;='Data Entry'!$C$82,'Data Entry'!$B82,0)</f>
        <v>0</v>
      </c>
      <c r="S50" s="177">
        <f>IF(S6&lt;='Data Entry'!$C$82,'Data Entry'!$B82,0)</f>
        <v>0</v>
      </c>
      <c r="T50" s="459"/>
      <c r="U50" s="459"/>
      <c r="V50" s="459"/>
      <c r="W50" s="459"/>
      <c r="X50" s="459"/>
      <c r="Y50" s="459"/>
      <c r="Z50" s="459"/>
      <c r="AA50" s="459"/>
      <c r="AB50" s="459"/>
      <c r="AC50" s="459"/>
      <c r="AD50" s="459"/>
      <c r="AE50" s="459"/>
      <c r="AF50" s="459"/>
      <c r="AG50" s="459"/>
      <c r="AH50" s="459"/>
      <c r="AI50" s="459"/>
      <c r="AJ50" s="459"/>
      <c r="AK50" s="459"/>
      <c r="AL50" s="459"/>
      <c r="AM50" s="459"/>
      <c r="AN50" s="459"/>
      <c r="AO50" s="460"/>
      <c r="AP50" s="459"/>
      <c r="AQ50" s="459"/>
      <c r="AR50" s="459"/>
      <c r="AS50" s="459"/>
      <c r="AT50" s="459"/>
      <c r="AU50" s="459"/>
      <c r="AV50" s="459"/>
      <c r="AW50" s="459"/>
      <c r="AX50" s="459"/>
      <c r="AY50" s="459"/>
      <c r="AZ50" s="459"/>
      <c r="BA50" s="459"/>
      <c r="BB50" s="459"/>
      <c r="BC50" s="459"/>
      <c r="BD50" s="459"/>
      <c r="BE50" s="459"/>
      <c r="BF50" s="459"/>
      <c r="BG50" s="459"/>
      <c r="BH50" s="459"/>
      <c r="BI50" s="459"/>
      <c r="BJ50" s="459"/>
      <c r="BK50" s="460"/>
      <c r="BL50" s="459"/>
      <c r="BM50" s="459"/>
      <c r="BN50" s="459"/>
      <c r="BO50" s="459"/>
      <c r="BP50" s="459"/>
      <c r="BQ50" s="459"/>
      <c r="BR50" s="459"/>
      <c r="BS50" s="459"/>
      <c r="BT50" s="459"/>
      <c r="BU50" s="459"/>
      <c r="BV50" s="459"/>
      <c r="BW50" s="459"/>
      <c r="BX50" s="459"/>
      <c r="BY50" s="459"/>
      <c r="BZ50" s="459"/>
      <c r="CA50" s="460"/>
      <c r="CB50" s="459"/>
      <c r="CC50" s="459"/>
      <c r="CD50" s="459"/>
      <c r="CE50" s="459"/>
      <c r="CF50" s="459"/>
      <c r="CG50" s="459"/>
      <c r="CH50" s="459"/>
      <c r="CI50" s="459"/>
      <c r="CJ50" s="459"/>
      <c r="CK50" s="459"/>
      <c r="CL50" s="459"/>
      <c r="CM50" s="459"/>
      <c r="CN50" s="459"/>
      <c r="CO50" s="459"/>
      <c r="CP50" s="459"/>
      <c r="CQ50" s="459"/>
      <c r="CR50" s="459"/>
      <c r="CS50" s="459"/>
      <c r="CT50" s="459"/>
      <c r="CU50" s="459"/>
      <c r="CV50" s="459"/>
      <c r="CW50" s="459"/>
      <c r="CX50" s="459"/>
      <c r="CY50" s="459"/>
    </row>
    <row r="51" spans="1:103" ht="15" customHeight="1" x14ac:dyDescent="0.2">
      <c r="A51" s="1059"/>
      <c r="B51" s="31" t="s">
        <v>83</v>
      </c>
      <c r="C51" s="269">
        <f>SUM(D51:CY51)</f>
        <v>0</v>
      </c>
      <c r="D51" s="466">
        <f>IF('Data Entry'!$B$84="Yes",IF(D6&lt;'Data Entry'!$H$152,'Data Entry'!$I$156,0),0)</f>
        <v>0</v>
      </c>
      <c r="E51" s="466">
        <f>IF('Data Entry'!$B$84="Yes",IF(E6&lt;'Data Entry'!$H$152,'Data Entry'!$I$156,0),0)</f>
        <v>0</v>
      </c>
      <c r="F51" s="466">
        <f>IF('Data Entry'!$B$84="Yes",IF(F6&lt;'Data Entry'!$H$152,'Data Entry'!$I$156,0),0)</f>
        <v>0</v>
      </c>
      <c r="G51" s="466">
        <f>IF('Data Entry'!$B$84="Yes",IF(G6&lt;'Data Entry'!$H$152,'Data Entry'!$I$156,0),0)</f>
        <v>0</v>
      </c>
      <c r="H51" s="466">
        <f>IF('Data Entry'!$B$84="Yes",IF(H6&lt;'Data Entry'!$H$152,'Data Entry'!$I$156,0),0)</f>
        <v>0</v>
      </c>
      <c r="I51" s="466">
        <f>IF('Data Entry'!$B$84="Yes",IF(I6&lt;'Data Entry'!$H$152,'Data Entry'!$I$156,0),0)</f>
        <v>0</v>
      </c>
      <c r="J51" s="466">
        <f>IF('Data Entry'!$B$84="Yes",IF(J6&lt;'Data Entry'!$H$152,'Data Entry'!$I$156,0),0)</f>
        <v>0</v>
      </c>
      <c r="K51" s="466">
        <f>IF('Data Entry'!$B$84="Yes",IF(K6&lt;'Data Entry'!$H$152,'Data Entry'!$I$156,0),0)</f>
        <v>0</v>
      </c>
      <c r="L51" s="466">
        <f>IF('Data Entry'!$B$84="Yes",IF(L6&lt;'Data Entry'!$H$152,'Data Entry'!$I$156,0),0)</f>
        <v>0</v>
      </c>
      <c r="M51" s="466">
        <f>IF('Data Entry'!$B$84="Yes",IF(M6&lt;'Data Entry'!$H$152,'Data Entry'!$I$156,0),0)</f>
        <v>0</v>
      </c>
      <c r="N51" s="466">
        <f>IF('Data Entry'!$B$84="Yes",IF(N6&lt;'Data Entry'!$H$152,'Data Entry'!$I$156,0),0)</f>
        <v>0</v>
      </c>
      <c r="O51" s="466">
        <f>IF('Data Entry'!$B$84="Yes",IF(O6&lt;'Data Entry'!$H$152,'Data Entry'!$I$156,0),0)</f>
        <v>0</v>
      </c>
      <c r="P51" s="466">
        <f>IF('Data Entry'!$B$84="Yes",IF(P6&lt;'Data Entry'!$H$152,'Data Entry'!$I$156,0),0)</f>
        <v>0</v>
      </c>
      <c r="Q51" s="466">
        <f>IF('Data Entry'!$B$84="Yes",IF(Q6&lt;'Data Entry'!$H$152,'Data Entry'!$I$156,0),0)</f>
        <v>0</v>
      </c>
      <c r="R51" s="466">
        <f>IF('Data Entry'!$B$84="Yes",IF(R6&lt;'Data Entry'!$H$152,'Data Entry'!$I$156,0),0)</f>
        <v>0</v>
      </c>
      <c r="S51" s="466">
        <f>IF('Data Entry'!$B$84="Yes",IF(S6&lt;'Data Entry'!$H$152,'Data Entry'!$I$156,0),0)</f>
        <v>0</v>
      </c>
      <c r="T51" s="466">
        <f>IF('Data Entry'!$B$84="Yes",IF(T6&lt;'Data Entry'!$H$152,'Data Entry'!$I$156,0),0)</f>
        <v>0</v>
      </c>
      <c r="U51" s="466">
        <f>IF('Data Entry'!$B$84="Yes",IF(U6&lt;'Data Entry'!$H$152,'Data Entry'!$I$156,0),0)</f>
        <v>0</v>
      </c>
      <c r="V51" s="466">
        <f>IF('Data Entry'!$B$84="Yes",IF(V6&lt;'Data Entry'!$H$152,'Data Entry'!$I$156,0),0)</f>
        <v>0</v>
      </c>
      <c r="W51" s="466">
        <f>IF('Data Entry'!$B$84="Yes",IF(W6&lt;'Data Entry'!$H$152,'Data Entry'!$I$156,0),0)</f>
        <v>0</v>
      </c>
      <c r="X51" s="459"/>
      <c r="Y51" s="459"/>
      <c r="Z51" s="459"/>
      <c r="AA51" s="459"/>
      <c r="AB51" s="459"/>
      <c r="AC51" s="459"/>
      <c r="AD51" s="459"/>
      <c r="AE51" s="459"/>
      <c r="AF51" s="459"/>
      <c r="AG51" s="459"/>
      <c r="AH51" s="459"/>
      <c r="AI51" s="459"/>
      <c r="AJ51" s="459"/>
      <c r="AK51" s="459"/>
      <c r="AL51" s="459"/>
      <c r="AM51" s="459"/>
      <c r="AN51" s="459"/>
      <c r="AO51" s="460"/>
      <c r="AP51" s="459"/>
      <c r="AQ51" s="459"/>
      <c r="AR51" s="459"/>
      <c r="AS51" s="459"/>
      <c r="AT51" s="459"/>
      <c r="AU51" s="459"/>
      <c r="AV51" s="459"/>
      <c r="AW51" s="459"/>
      <c r="AX51" s="459"/>
      <c r="AY51" s="459"/>
      <c r="AZ51" s="459"/>
      <c r="BA51" s="459"/>
      <c r="BB51" s="459"/>
      <c r="BC51" s="459"/>
      <c r="BD51" s="459"/>
      <c r="BE51" s="459"/>
      <c r="BF51" s="459"/>
      <c r="BG51" s="459"/>
      <c r="BH51" s="459"/>
      <c r="BI51" s="459"/>
      <c r="BJ51" s="459"/>
      <c r="BK51" s="460"/>
      <c r="BL51" s="459"/>
      <c r="BM51" s="459"/>
      <c r="BN51" s="459"/>
      <c r="BO51" s="459"/>
      <c r="BP51" s="459"/>
      <c r="BQ51" s="459"/>
      <c r="BR51" s="459"/>
      <c r="BS51" s="459"/>
      <c r="BT51" s="459"/>
      <c r="BU51" s="459"/>
      <c r="BV51" s="459"/>
      <c r="BW51" s="459"/>
      <c r="BX51" s="459"/>
      <c r="BY51" s="459"/>
      <c r="BZ51" s="459"/>
      <c r="CA51" s="460"/>
      <c r="CB51" s="459"/>
      <c r="CC51" s="459"/>
      <c r="CD51" s="459"/>
      <c r="CE51" s="459"/>
      <c r="CF51" s="459"/>
      <c r="CG51" s="459"/>
      <c r="CH51" s="459"/>
      <c r="CI51" s="459"/>
      <c r="CJ51" s="459"/>
      <c r="CK51" s="459"/>
      <c r="CL51" s="459"/>
      <c r="CM51" s="459"/>
      <c r="CN51" s="459"/>
      <c r="CO51" s="459"/>
      <c r="CP51" s="459"/>
      <c r="CQ51" s="459"/>
      <c r="CR51" s="459"/>
      <c r="CS51" s="459"/>
      <c r="CT51" s="459"/>
      <c r="CU51" s="459"/>
      <c r="CV51" s="459"/>
      <c r="CW51" s="459"/>
      <c r="CX51" s="459"/>
      <c r="CY51" s="459"/>
    </row>
    <row r="52" spans="1:103" ht="15" customHeight="1" x14ac:dyDescent="0.2">
      <c r="A52" s="1059"/>
      <c r="B52" s="31" t="s">
        <v>176</v>
      </c>
      <c r="C52" s="269">
        <f>SUM(D52:CY52)</f>
        <v>0</v>
      </c>
      <c r="D52" s="466">
        <f>IF(D6&lt;'Data Entry'!$C$83,'Data Entry'!$B$83,0)</f>
        <v>0</v>
      </c>
      <c r="E52" s="466">
        <f>IF(E6&lt;'Data Entry'!$C$83,'Data Entry'!$B$83,0)</f>
        <v>0</v>
      </c>
      <c r="F52" s="466">
        <f>IF(F6&lt;'Data Entry'!$C$83,'Data Entry'!$B$83,0)</f>
        <v>0</v>
      </c>
      <c r="G52" s="466">
        <f>IF(G6&lt;'Data Entry'!$C$83,'Data Entry'!$B$83,0)</f>
        <v>0</v>
      </c>
      <c r="H52" s="466">
        <f>IF(H6&lt;'Data Entry'!$C$83,'Data Entry'!$B$83,0)</f>
        <v>0</v>
      </c>
      <c r="I52" s="466">
        <f>IF(I6&lt;'Data Entry'!$C$83,'Data Entry'!$B$83,0)</f>
        <v>0</v>
      </c>
      <c r="J52" s="466">
        <f>IF(J6&lt;'Data Entry'!$C$83,'Data Entry'!$B$83,0)</f>
        <v>0</v>
      </c>
      <c r="K52" s="466">
        <f>IF(K6&lt;'Data Entry'!$C$83,'Data Entry'!$B$83,0)</f>
        <v>0</v>
      </c>
      <c r="L52" s="466">
        <f>IF(L6&lt;'Data Entry'!$C$83,'Data Entry'!$B$83,0)</f>
        <v>0</v>
      </c>
      <c r="M52" s="466">
        <f>IF(M6&lt;'Data Entry'!$C$83,'Data Entry'!$B$83,0)</f>
        <v>0</v>
      </c>
      <c r="N52" s="466">
        <f>IF(N6&lt;'Data Entry'!$C$83,'Data Entry'!$B$83,0)</f>
        <v>0</v>
      </c>
      <c r="O52" s="466">
        <f>IF(O6&lt;'Data Entry'!$C$83,'Data Entry'!$B$83,0)</f>
        <v>0</v>
      </c>
      <c r="P52" s="466">
        <f>IF(P6&lt;'Data Entry'!$C$83,'Data Entry'!$B$83,0)</f>
        <v>0</v>
      </c>
      <c r="Q52" s="466">
        <f>IF(Q6&lt;'Data Entry'!$C$83,'Data Entry'!$B$83,0)</f>
        <v>0</v>
      </c>
      <c r="R52" s="466">
        <f>IF(R6&lt;'Data Entry'!$C$83,'Data Entry'!$B$83,0)</f>
        <v>0</v>
      </c>
      <c r="S52" s="466">
        <f>IF(S6&lt;'Data Entry'!$C$83,'Data Entry'!$B$83,0)</f>
        <v>0</v>
      </c>
      <c r="T52" s="466">
        <f>IF(T6&lt;'Data Entry'!$C$83,'Data Entry'!$B$83,0)</f>
        <v>0</v>
      </c>
      <c r="U52" s="466">
        <f>IF(U6&lt;'Data Entry'!$C$83,'Data Entry'!$B$83,0)</f>
        <v>0</v>
      </c>
      <c r="V52" s="466">
        <f>IF(V6&lt;'Data Entry'!$C$83,'Data Entry'!$B$83,0)</f>
        <v>0</v>
      </c>
      <c r="W52" s="466">
        <f>IF(W6&lt;'Data Entry'!$C$83,'Data Entry'!$B$83,0)</f>
        <v>0</v>
      </c>
      <c r="X52" s="454"/>
      <c r="Y52" s="454"/>
      <c r="Z52" s="454"/>
      <c r="AA52" s="454"/>
      <c r="AB52" s="454"/>
      <c r="AC52" s="454"/>
      <c r="AD52" s="454"/>
      <c r="AE52" s="454"/>
      <c r="AF52" s="454"/>
      <c r="AG52" s="454"/>
      <c r="AH52" s="454"/>
      <c r="AI52" s="454"/>
      <c r="AJ52" s="454"/>
      <c r="AK52" s="454"/>
      <c r="AL52" s="454"/>
      <c r="AM52" s="454"/>
      <c r="AN52" s="454"/>
      <c r="AO52" s="455"/>
      <c r="AP52" s="454"/>
      <c r="AQ52" s="454"/>
      <c r="AR52" s="454"/>
      <c r="AS52" s="454"/>
      <c r="AT52" s="454"/>
      <c r="AU52" s="454"/>
      <c r="AV52" s="454"/>
      <c r="AW52" s="454"/>
      <c r="AX52" s="454"/>
      <c r="AY52" s="454"/>
      <c r="AZ52" s="454"/>
      <c r="BA52" s="454"/>
      <c r="BB52" s="454"/>
      <c r="BC52" s="454"/>
      <c r="BD52" s="454"/>
      <c r="BE52" s="454"/>
      <c r="BF52" s="454"/>
      <c r="BG52" s="454"/>
      <c r="BH52" s="454"/>
      <c r="BI52" s="454"/>
      <c r="BJ52" s="454"/>
      <c r="BK52" s="455"/>
      <c r="BL52" s="454"/>
      <c r="BM52" s="454"/>
      <c r="BN52" s="454"/>
      <c r="BO52" s="454"/>
      <c r="BP52" s="454"/>
      <c r="BQ52" s="454"/>
      <c r="BR52" s="454"/>
      <c r="BS52" s="454"/>
      <c r="BT52" s="454"/>
      <c r="BU52" s="454"/>
      <c r="BV52" s="454"/>
      <c r="BW52" s="454"/>
      <c r="BX52" s="454"/>
      <c r="BY52" s="454"/>
      <c r="BZ52" s="454"/>
      <c r="CA52" s="455"/>
      <c r="CB52" s="454"/>
      <c r="CC52" s="454"/>
      <c r="CD52" s="454"/>
      <c r="CE52" s="454"/>
      <c r="CF52" s="454"/>
      <c r="CG52" s="454"/>
      <c r="CH52" s="454"/>
      <c r="CI52" s="454"/>
      <c r="CJ52" s="454"/>
      <c r="CK52" s="454"/>
      <c r="CL52" s="454"/>
      <c r="CM52" s="454"/>
      <c r="CN52" s="454"/>
      <c r="CO52" s="454"/>
      <c r="CP52" s="454"/>
      <c r="CQ52" s="454"/>
      <c r="CR52" s="454"/>
      <c r="CS52" s="454"/>
      <c r="CT52" s="454"/>
      <c r="CU52" s="454"/>
      <c r="CV52" s="454"/>
      <c r="CW52" s="454"/>
      <c r="CX52" s="454"/>
      <c r="CY52" s="454"/>
    </row>
    <row r="53" spans="1:103" ht="15" customHeight="1" x14ac:dyDescent="0.2">
      <c r="A53" s="41" t="s">
        <v>4</v>
      </c>
      <c r="B53" s="42"/>
      <c r="C53" s="290">
        <f>SUM(C48:C52)</f>
        <v>0</v>
      </c>
      <c r="D53" s="291">
        <f>SUM(D48:D52)</f>
        <v>0</v>
      </c>
      <c r="E53" s="291">
        <f t="shared" ref="E53:BO53" si="14">SUM(E48:E52)</f>
        <v>0</v>
      </c>
      <c r="F53" s="291">
        <f t="shared" si="14"/>
        <v>0</v>
      </c>
      <c r="G53" s="291">
        <f t="shared" si="14"/>
        <v>0</v>
      </c>
      <c r="H53" s="291">
        <f t="shared" si="14"/>
        <v>0</v>
      </c>
      <c r="I53" s="291">
        <f t="shared" si="14"/>
        <v>0</v>
      </c>
      <c r="J53" s="291">
        <f t="shared" si="14"/>
        <v>0</v>
      </c>
      <c r="K53" s="291">
        <f t="shared" si="14"/>
        <v>0</v>
      </c>
      <c r="L53" s="291">
        <f t="shared" si="14"/>
        <v>0</v>
      </c>
      <c r="M53" s="291">
        <f t="shared" si="14"/>
        <v>0</v>
      </c>
      <c r="N53" s="291">
        <f t="shared" si="14"/>
        <v>0</v>
      </c>
      <c r="O53" s="291">
        <f t="shared" si="14"/>
        <v>0</v>
      </c>
      <c r="P53" s="291">
        <f t="shared" si="14"/>
        <v>0</v>
      </c>
      <c r="Q53" s="291">
        <f t="shared" si="14"/>
        <v>0</v>
      </c>
      <c r="R53" s="291">
        <f t="shared" si="14"/>
        <v>0</v>
      </c>
      <c r="S53" s="291">
        <f t="shared" si="14"/>
        <v>0</v>
      </c>
      <c r="T53" s="291">
        <f t="shared" si="14"/>
        <v>0</v>
      </c>
      <c r="U53" s="291">
        <f t="shared" si="14"/>
        <v>0</v>
      </c>
      <c r="V53" s="291">
        <f t="shared" si="14"/>
        <v>0</v>
      </c>
      <c r="W53" s="291">
        <f t="shared" si="14"/>
        <v>0</v>
      </c>
      <c r="X53" s="291">
        <f t="shared" si="14"/>
        <v>0</v>
      </c>
      <c r="Y53" s="291">
        <f t="shared" si="14"/>
        <v>0</v>
      </c>
      <c r="Z53" s="291">
        <f t="shared" si="14"/>
        <v>0</v>
      </c>
      <c r="AA53" s="291">
        <f t="shared" si="14"/>
        <v>0</v>
      </c>
      <c r="AB53" s="291">
        <f t="shared" si="14"/>
        <v>0</v>
      </c>
      <c r="AC53" s="291">
        <f t="shared" si="14"/>
        <v>0</v>
      </c>
      <c r="AD53" s="291">
        <f t="shared" si="14"/>
        <v>0</v>
      </c>
      <c r="AE53" s="291">
        <f t="shared" si="14"/>
        <v>0</v>
      </c>
      <c r="AF53" s="291">
        <f t="shared" si="14"/>
        <v>0</v>
      </c>
      <c r="AG53" s="291">
        <f t="shared" si="14"/>
        <v>0</v>
      </c>
      <c r="AH53" s="291">
        <f t="shared" si="14"/>
        <v>0</v>
      </c>
      <c r="AI53" s="291">
        <f t="shared" si="14"/>
        <v>0</v>
      </c>
      <c r="AJ53" s="291">
        <f t="shared" si="14"/>
        <v>0</v>
      </c>
      <c r="AK53" s="291">
        <f t="shared" si="14"/>
        <v>0</v>
      </c>
      <c r="AL53" s="291">
        <f t="shared" si="14"/>
        <v>0</v>
      </c>
      <c r="AM53" s="291">
        <f t="shared" si="14"/>
        <v>0</v>
      </c>
      <c r="AN53" s="291">
        <f t="shared" si="14"/>
        <v>0</v>
      </c>
      <c r="AO53" s="292">
        <f t="shared" si="14"/>
        <v>0</v>
      </c>
      <c r="AP53" s="291">
        <f t="shared" si="14"/>
        <v>0</v>
      </c>
      <c r="AQ53" s="291">
        <f t="shared" si="14"/>
        <v>0</v>
      </c>
      <c r="AR53" s="291">
        <f t="shared" si="14"/>
        <v>0</v>
      </c>
      <c r="AS53" s="291">
        <f t="shared" si="14"/>
        <v>0</v>
      </c>
      <c r="AT53" s="291">
        <f t="shared" si="14"/>
        <v>0</v>
      </c>
      <c r="AU53" s="291">
        <f t="shared" si="14"/>
        <v>0</v>
      </c>
      <c r="AV53" s="291">
        <f t="shared" si="14"/>
        <v>0</v>
      </c>
      <c r="AW53" s="291">
        <f t="shared" si="14"/>
        <v>0</v>
      </c>
      <c r="AX53" s="291">
        <f t="shared" si="14"/>
        <v>0</v>
      </c>
      <c r="AY53" s="291">
        <f t="shared" si="14"/>
        <v>0</v>
      </c>
      <c r="AZ53" s="291">
        <f t="shared" si="14"/>
        <v>0</v>
      </c>
      <c r="BA53" s="291">
        <f t="shared" si="14"/>
        <v>0</v>
      </c>
      <c r="BB53" s="291">
        <f t="shared" si="14"/>
        <v>0</v>
      </c>
      <c r="BC53" s="291">
        <f t="shared" si="14"/>
        <v>0</v>
      </c>
      <c r="BD53" s="291">
        <f t="shared" si="14"/>
        <v>0</v>
      </c>
      <c r="BE53" s="291">
        <f t="shared" si="14"/>
        <v>0</v>
      </c>
      <c r="BF53" s="291">
        <f t="shared" si="14"/>
        <v>0</v>
      </c>
      <c r="BG53" s="291">
        <f t="shared" si="14"/>
        <v>0</v>
      </c>
      <c r="BH53" s="291">
        <f t="shared" si="14"/>
        <v>0</v>
      </c>
      <c r="BI53" s="291">
        <f t="shared" si="14"/>
        <v>0</v>
      </c>
      <c r="BJ53" s="291">
        <f t="shared" si="14"/>
        <v>0</v>
      </c>
      <c r="BK53" s="292">
        <f t="shared" si="14"/>
        <v>0</v>
      </c>
      <c r="BL53" s="291">
        <f t="shared" si="14"/>
        <v>0</v>
      </c>
      <c r="BM53" s="291">
        <f t="shared" si="14"/>
        <v>0</v>
      </c>
      <c r="BN53" s="291">
        <f t="shared" si="14"/>
        <v>0</v>
      </c>
      <c r="BO53" s="291">
        <f t="shared" si="14"/>
        <v>0</v>
      </c>
      <c r="BP53" s="291">
        <f t="shared" ref="BP53:CY53" si="15">SUM(BP48:BP52)</f>
        <v>0</v>
      </c>
      <c r="BQ53" s="291">
        <f t="shared" si="15"/>
        <v>0</v>
      </c>
      <c r="BR53" s="291">
        <f t="shared" si="15"/>
        <v>0</v>
      </c>
      <c r="BS53" s="291">
        <f t="shared" si="15"/>
        <v>0</v>
      </c>
      <c r="BT53" s="291">
        <f t="shared" si="15"/>
        <v>0</v>
      </c>
      <c r="BU53" s="291">
        <f t="shared" si="15"/>
        <v>0</v>
      </c>
      <c r="BV53" s="291">
        <f t="shared" si="15"/>
        <v>0</v>
      </c>
      <c r="BW53" s="291">
        <f t="shared" si="15"/>
        <v>0</v>
      </c>
      <c r="BX53" s="291">
        <f t="shared" si="15"/>
        <v>0</v>
      </c>
      <c r="BY53" s="291">
        <f t="shared" si="15"/>
        <v>0</v>
      </c>
      <c r="BZ53" s="291">
        <f t="shared" si="15"/>
        <v>0</v>
      </c>
      <c r="CA53" s="292">
        <f t="shared" si="15"/>
        <v>0</v>
      </c>
      <c r="CB53" s="291">
        <f t="shared" si="15"/>
        <v>0</v>
      </c>
      <c r="CC53" s="291">
        <f t="shared" si="15"/>
        <v>0</v>
      </c>
      <c r="CD53" s="291">
        <f t="shared" si="15"/>
        <v>0</v>
      </c>
      <c r="CE53" s="291">
        <f t="shared" si="15"/>
        <v>0</v>
      </c>
      <c r="CF53" s="291">
        <f t="shared" si="15"/>
        <v>0</v>
      </c>
      <c r="CG53" s="291">
        <f t="shared" si="15"/>
        <v>0</v>
      </c>
      <c r="CH53" s="291">
        <f t="shared" si="15"/>
        <v>0</v>
      </c>
      <c r="CI53" s="291">
        <f t="shared" si="15"/>
        <v>0</v>
      </c>
      <c r="CJ53" s="291">
        <f t="shared" si="15"/>
        <v>0</v>
      </c>
      <c r="CK53" s="291">
        <f t="shared" si="15"/>
        <v>0</v>
      </c>
      <c r="CL53" s="291">
        <f t="shared" si="15"/>
        <v>0</v>
      </c>
      <c r="CM53" s="291">
        <f t="shared" si="15"/>
        <v>0</v>
      </c>
      <c r="CN53" s="291">
        <f t="shared" si="15"/>
        <v>0</v>
      </c>
      <c r="CO53" s="291">
        <f t="shared" si="15"/>
        <v>0</v>
      </c>
      <c r="CP53" s="291">
        <f t="shared" si="15"/>
        <v>0</v>
      </c>
      <c r="CQ53" s="291">
        <f t="shared" si="15"/>
        <v>0</v>
      </c>
      <c r="CR53" s="291">
        <f t="shared" si="15"/>
        <v>0</v>
      </c>
      <c r="CS53" s="291">
        <f t="shared" si="15"/>
        <v>0</v>
      </c>
      <c r="CT53" s="291">
        <f t="shared" si="15"/>
        <v>0</v>
      </c>
      <c r="CU53" s="291">
        <f t="shared" si="15"/>
        <v>0</v>
      </c>
      <c r="CV53" s="291">
        <f t="shared" si="15"/>
        <v>0</v>
      </c>
      <c r="CW53" s="291">
        <f t="shared" si="15"/>
        <v>0</v>
      </c>
      <c r="CX53" s="291">
        <f t="shared" si="15"/>
        <v>0</v>
      </c>
      <c r="CY53" s="291">
        <f t="shared" si="15"/>
        <v>0</v>
      </c>
    </row>
    <row r="54" spans="1:103" ht="15" customHeight="1" x14ac:dyDescent="0.2">
      <c r="A54" s="46" t="s">
        <v>7</v>
      </c>
      <c r="B54" s="295" t="s">
        <v>7</v>
      </c>
      <c r="C54" s="269">
        <f t="shared" ref="C54:C61" ca="1" si="16">SUM(D54:CY54)</f>
        <v>0</v>
      </c>
      <c r="D54" s="294">
        <f>IFERROR(IF('Data Entry'!B15="UP FRONT",IF('Lookup Tables'!K3="VERSION_1",'Data Entry'!$I$111,IF('Lookup Tables'!K3="VERSION_3",'Data Entry'!I148,IF('Lookup Tables'!K3="VERSION_2",'Data Entry'!I128,0))),0),"Error")</f>
        <v>0</v>
      </c>
      <c r="E54" s="294">
        <f ca="1">IFERROR(IF('Data Entry'!$B$15="UP FRONT",0,VLOOKUP(E6+1,INDIRECT('Lookup Tables'!$K$3),8,FALSE)),0)</f>
        <v>0</v>
      </c>
      <c r="F54" s="294">
        <f ca="1">IFERROR(IF('Data Entry'!$B$15="UP FRONT",0,VLOOKUP(F6+1,INDIRECT('Lookup Tables'!$K$3),8,FALSE)),0)</f>
        <v>0</v>
      </c>
      <c r="G54" s="294">
        <f ca="1">IFERROR(IF('Data Entry'!$B$15="UP FRONT",0,VLOOKUP(G6+1,INDIRECT('Lookup Tables'!$K$3),8,FALSE)),0)</f>
        <v>0</v>
      </c>
      <c r="H54" s="294">
        <f ca="1">IFERROR(IF('Data Entry'!$B$15="UP FRONT",0,VLOOKUP(H6+1,INDIRECT('Lookup Tables'!$K$3),8,FALSE)),0)</f>
        <v>0</v>
      </c>
      <c r="I54" s="294">
        <f ca="1">IFERROR(IF('Data Entry'!$B$15="UP FRONT",0,VLOOKUP(I6+1,INDIRECT('Lookup Tables'!$K$3),8,FALSE)),0)</f>
        <v>0</v>
      </c>
      <c r="J54" s="294">
        <f ca="1">IFERROR(IF('Data Entry'!$B$15="UP FRONT",0,VLOOKUP(J6+1,INDIRECT('Lookup Tables'!$K$3),8,FALSE)),0)</f>
        <v>0</v>
      </c>
      <c r="K54" s="294">
        <f ca="1">IFERROR(IF('Data Entry'!$B$15="UP FRONT",0,VLOOKUP(K6+1,INDIRECT('Lookup Tables'!$K$3),8,FALSE)),0)</f>
        <v>0</v>
      </c>
      <c r="L54" s="294">
        <f ca="1">IFERROR(IF('Data Entry'!$B$15="UP FRONT",0,VLOOKUP(L6+1,INDIRECT('Lookup Tables'!$K$3),8,FALSE)),0)</f>
        <v>0</v>
      </c>
      <c r="M54" s="294">
        <f ca="1">IFERROR(IF('Data Entry'!$B$15="UP FRONT",0,VLOOKUP(M6+1,INDIRECT('Lookup Tables'!$K$3),8,FALSE)),0)</f>
        <v>0</v>
      </c>
      <c r="N54" s="294">
        <f ca="1">IFERROR(IF('Data Entry'!$B$15="UP FRONT",0,VLOOKUP(N6+1,INDIRECT('Lookup Tables'!$K$3),8,FALSE)),0)</f>
        <v>0</v>
      </c>
      <c r="O54" s="294">
        <f ca="1">IFERROR(IF('Data Entry'!$B$15="UP FRONT",0,VLOOKUP(O6+1,INDIRECT('Lookup Tables'!$K$3),8,FALSE)),0)</f>
        <v>0</v>
      </c>
      <c r="P54" s="294">
        <f ca="1">IFERROR(IF('Data Entry'!$B$15="UP FRONT",0,VLOOKUP(P6+1,INDIRECT('Lookup Tables'!$K$3),8,FALSE)),0)</f>
        <v>0</v>
      </c>
      <c r="Q54" s="294">
        <f ca="1">IFERROR(IF('Data Entry'!$B$15="UP FRONT",0,VLOOKUP(Q6+1,INDIRECT('Lookup Tables'!$K$3),8,FALSE)),0)</f>
        <v>0</v>
      </c>
      <c r="R54" s="294">
        <f ca="1">IFERROR(IF('Data Entry'!$B$15="UP FRONT",0,VLOOKUP(R6+1,INDIRECT('Lookup Tables'!$K$3),8,FALSE)),0)</f>
        <v>0</v>
      </c>
      <c r="S54" s="294">
        <f ca="1">IFERROR(IF('Data Entry'!$B$15="UP FRONT",0,VLOOKUP(S6+1,INDIRECT('Lookup Tables'!$K$3),8,FALSE)),0)</f>
        <v>0</v>
      </c>
      <c r="T54" s="294">
        <f ca="1">IFERROR(IF('Data Entry'!$B$15="UP FRONT",0,VLOOKUP(T6+1,INDIRECT('Lookup Tables'!$K$3),8,FALSE)),0)</f>
        <v>0</v>
      </c>
      <c r="U54" s="294">
        <f ca="1">IFERROR(IF('Data Entry'!$B$15="UP FRONT",0,VLOOKUP(U6+1,INDIRECT('Lookup Tables'!$K$3),8,FALSE)),0)</f>
        <v>0</v>
      </c>
      <c r="V54" s="294">
        <f ca="1">IFERROR(IF('Data Entry'!$B$15="UP FRONT",0,VLOOKUP(V6+1,INDIRECT('Lookup Tables'!$K$3),8,FALSE)),0)</f>
        <v>0</v>
      </c>
      <c r="W54" s="294">
        <f ca="1">IFERROR(IF('Data Entry'!$B$15="UP FRONT",0,VLOOKUP(W6+1,INDIRECT('Lookup Tables'!$K$3),8,FALSE)),0)</f>
        <v>0</v>
      </c>
      <c r="X54" s="294">
        <f ca="1">IFERROR(IF('Data Entry'!$B$15="UP FRONT",0,VLOOKUP(X6+1,INDIRECT('Lookup Tables'!$K$3),8,FALSE)),0)</f>
        <v>0</v>
      </c>
      <c r="Y54" s="294">
        <f ca="1">IFERROR(IF('Data Entry'!$B$15="UP FRONT",0,VLOOKUP(Y6+1,INDIRECT('Lookup Tables'!$K$3),8,FALSE)),0)</f>
        <v>0</v>
      </c>
      <c r="Z54" s="294">
        <f ca="1">IFERROR(IF('Data Entry'!$B$15="UP FRONT",0,VLOOKUP(Z6+1,INDIRECT('Lookup Tables'!$K$3),8,FALSE)),0)</f>
        <v>0</v>
      </c>
      <c r="AA54" s="294">
        <f ca="1">IFERROR(IF('Data Entry'!$B$15="UP FRONT",0,VLOOKUP(AA6+1,INDIRECT('Lookup Tables'!$K$3),8,FALSE)),0)</f>
        <v>0</v>
      </c>
      <c r="AB54" s="294">
        <f ca="1">IFERROR(IF('Data Entry'!$B$15="UP FRONT",0,VLOOKUP(AB6+1,INDIRECT('Lookup Tables'!$K$3),8,FALSE)),0)</f>
        <v>0</v>
      </c>
      <c r="AC54" s="294">
        <f ca="1">IFERROR(IF('Data Entry'!$B$15="UP FRONT",0,VLOOKUP(AC6+1,INDIRECT('Lookup Tables'!$K$3),8,FALSE)),0)</f>
        <v>0</v>
      </c>
      <c r="AD54" s="294">
        <f ca="1">IFERROR(IF('Data Entry'!$B$15="UP FRONT",0,VLOOKUP(AD6+1,INDIRECT('Lookup Tables'!$K$3),8,FALSE)),0)</f>
        <v>0</v>
      </c>
      <c r="AE54" s="294">
        <f ca="1">IFERROR(IF('Data Entry'!$B$15="UP FRONT",0,VLOOKUP(AE6+1,INDIRECT('Lookup Tables'!$K$3),8,FALSE)),0)</f>
        <v>0</v>
      </c>
      <c r="AF54" s="294">
        <f ca="1">IFERROR(IF('Data Entry'!$B$15="UP FRONT",0,VLOOKUP(AF6+1,INDIRECT('Lookup Tables'!$K$3),8,FALSE)),0)</f>
        <v>0</v>
      </c>
      <c r="AG54" s="294">
        <f ca="1">IFERROR(IF('Data Entry'!$B$15="UP FRONT",0,VLOOKUP(AG6+1,INDIRECT('Lookup Tables'!$K$3),8,FALSE)),0)</f>
        <v>0</v>
      </c>
      <c r="AH54" s="294">
        <f ca="1">IFERROR(IF('Data Entry'!$B$15="UP FRONT",0,VLOOKUP(AH6+1,INDIRECT('Lookup Tables'!$K$3),8,FALSE)),0)</f>
        <v>0</v>
      </c>
      <c r="AI54" s="294">
        <f ca="1">IFERROR(IF('Data Entry'!$B$15="UP FRONT",0,VLOOKUP(AI6+1,INDIRECT('Lookup Tables'!$K$3),8,FALSE)),0)</f>
        <v>0</v>
      </c>
      <c r="AJ54" s="294">
        <f ca="1">IFERROR(IF('Data Entry'!$B$15="UP FRONT",0,VLOOKUP(AJ6+1,INDIRECT('Lookup Tables'!$K$3),8,FALSE)),0)</f>
        <v>0</v>
      </c>
      <c r="AK54" s="294">
        <f ca="1">IFERROR(IF('Data Entry'!$B$15="UP FRONT",0,VLOOKUP(AK6+1,INDIRECT('Lookup Tables'!$K$3),8,FALSE)),0)</f>
        <v>0</v>
      </c>
      <c r="AL54" s="294">
        <f ca="1">IFERROR(IF('Data Entry'!$B$15="UP FRONT",0,VLOOKUP(AL6+1,INDIRECT('Lookup Tables'!$K$3),8,FALSE)),0)</f>
        <v>0</v>
      </c>
      <c r="AM54" s="294">
        <f ca="1">IFERROR(IF('Data Entry'!$B$15="UP FRONT",0,VLOOKUP(AM6+1,INDIRECT('Lookup Tables'!$K$3),8,FALSE)),0)</f>
        <v>0</v>
      </c>
      <c r="AN54" s="294">
        <f ca="1">IFERROR(IF('Data Entry'!$B$15="UP FRONT",0,VLOOKUP(AN6+1,INDIRECT('Lookup Tables'!$K$3),8,FALSE)),0)</f>
        <v>0</v>
      </c>
      <c r="AO54" s="316">
        <f ca="1">IFERROR(IF('Data Entry'!$B$15="UP FRONT",0,VLOOKUP(AO6+1,INDIRECT('Lookup Tables'!$K$3),8,FALSE)),0)</f>
        <v>0</v>
      </c>
      <c r="AP54" s="294">
        <f ca="1">IFERROR(IF('Data Entry'!$B$15="UP FRONT",0,VLOOKUP(AP6+1,INDIRECT('Lookup Tables'!$K$3),8,FALSE)),0)</f>
        <v>0</v>
      </c>
      <c r="AQ54" s="294">
        <f ca="1">IFERROR(IF('Data Entry'!$B$15="UP FRONT",0,VLOOKUP(AQ6+1,INDIRECT('Lookup Tables'!$K$3),8,FALSE)),0)</f>
        <v>0</v>
      </c>
      <c r="AR54" s="294">
        <f ca="1">IFERROR(IF('Data Entry'!$B$15="UP FRONT",0,VLOOKUP(AR6+1,INDIRECT('Lookup Tables'!$K$3),8,FALSE)),0)</f>
        <v>0</v>
      </c>
      <c r="AS54" s="294">
        <f ca="1">IFERROR(IF('Data Entry'!$B$15="UP FRONT",0,VLOOKUP(AS6+1,INDIRECT('Lookup Tables'!$K$3),8,FALSE)),0)</f>
        <v>0</v>
      </c>
      <c r="AT54" s="294">
        <f ca="1">IFERROR(IF('Data Entry'!$B$15="UP FRONT",0,VLOOKUP(AT6+1,INDIRECT('Lookup Tables'!$K$3),8,FALSE)),0)</f>
        <v>0</v>
      </c>
      <c r="AU54" s="294">
        <f ca="1">IFERROR(IF('Data Entry'!$B$15="UP FRONT",0,VLOOKUP(AU6+1,INDIRECT('Lookup Tables'!$K$3),8,FALSE)),0)</f>
        <v>0</v>
      </c>
      <c r="AV54" s="294">
        <f ca="1">IFERROR(IF('Data Entry'!$B$15="UP FRONT",0,VLOOKUP(AV6+1,INDIRECT('Lookup Tables'!$K$3),8,FALSE)),0)</f>
        <v>0</v>
      </c>
      <c r="AW54" s="294">
        <f ca="1">IFERROR(IF('Data Entry'!$B$15="UP FRONT",0,VLOOKUP(AW6+1,INDIRECT('Lookup Tables'!$K$3),8,FALSE)),0)</f>
        <v>0</v>
      </c>
      <c r="AX54" s="294">
        <f ca="1">IFERROR(IF('Data Entry'!$B$15="UP FRONT",0,VLOOKUP(AX6+1,INDIRECT('Lookup Tables'!$K$3),8,FALSE)),0)</f>
        <v>0</v>
      </c>
      <c r="AY54" s="294">
        <f ca="1">IFERROR(IF('Data Entry'!$B$15="UP FRONT",0,VLOOKUP(AY6+1,INDIRECT('Lookup Tables'!$K$3),8,FALSE)),0)</f>
        <v>0</v>
      </c>
      <c r="AZ54" s="294">
        <f ca="1">IFERROR(IF('Data Entry'!$B$15="UP FRONT",0,VLOOKUP(AZ6+1,INDIRECT('Lookup Tables'!$K$3),8,FALSE)),0)</f>
        <v>0</v>
      </c>
      <c r="BA54" s="294">
        <f ca="1">IFERROR(IF('Data Entry'!$B$15="UP FRONT",0,VLOOKUP(BA6+1,INDIRECT('Lookup Tables'!$K$3),8,FALSE)),0)</f>
        <v>0</v>
      </c>
      <c r="BB54" s="294">
        <f ca="1">IFERROR(IF('Data Entry'!$B$15="UP FRONT",0,VLOOKUP(BB6+1,INDIRECT('Lookup Tables'!$K$3),8,FALSE)),0)</f>
        <v>0</v>
      </c>
      <c r="BC54" s="294">
        <f ca="1">IFERROR(IF('Data Entry'!$B$15="UP FRONT",0,VLOOKUP(BC6+1,INDIRECT('Lookup Tables'!$K$3),8,FALSE)),0)</f>
        <v>0</v>
      </c>
      <c r="BD54" s="294">
        <f ca="1">IFERROR(IF('Data Entry'!$B$15="UP FRONT",0,VLOOKUP(BD6+1,INDIRECT('Lookup Tables'!$K$3),8,FALSE)),0)</f>
        <v>0</v>
      </c>
      <c r="BE54" s="294">
        <f ca="1">IFERROR(IF('Data Entry'!$B$15="UP FRONT",0,VLOOKUP(BE6+1,INDIRECT('Lookup Tables'!$K$3),8,FALSE)),0)</f>
        <v>0</v>
      </c>
      <c r="BF54" s="294">
        <f ca="1">IFERROR(IF('Data Entry'!$B$15="UP FRONT",0,VLOOKUP(BF6+1,INDIRECT('Lookup Tables'!$K$3),8,FALSE)),0)</f>
        <v>0</v>
      </c>
      <c r="BG54" s="294">
        <f ca="1">IFERROR(IF('Data Entry'!$B$15="UP FRONT",0,VLOOKUP(BG6+1,INDIRECT('Lookup Tables'!$K$3),8,FALSE)),0)</f>
        <v>0</v>
      </c>
      <c r="BH54" s="294">
        <f ca="1">IFERROR(IF('Data Entry'!$B$15="UP FRONT",0,VLOOKUP(BH6+1,INDIRECT('Lookup Tables'!$K$3),8,FALSE)),0)</f>
        <v>0</v>
      </c>
      <c r="BI54" s="294">
        <f ca="1">IFERROR(IF('Data Entry'!$B$15="UP FRONT",0,VLOOKUP(BI6+1,INDIRECT('Lookup Tables'!$K$3),8,FALSE)),0)</f>
        <v>0</v>
      </c>
      <c r="BJ54" s="294">
        <f ca="1">IFERROR(IF('Data Entry'!$B$15="UP FRONT",0,VLOOKUP(BJ6+1,INDIRECT('Lookup Tables'!$K$3),8,FALSE)),0)</f>
        <v>0</v>
      </c>
      <c r="BK54" s="316">
        <f ca="1">IFERROR(IF('Data Entry'!$B$15="UP FRONT",0,VLOOKUP(BK6+1,INDIRECT('Lookup Tables'!$K$3),8,FALSE)),0)</f>
        <v>0</v>
      </c>
      <c r="BL54" s="294">
        <f ca="1">IFERROR(IF('Data Entry'!$B$15="UP FRONT",0,VLOOKUP(BL6+1,INDIRECT('Lookup Tables'!$K$3),8,FALSE)),0)</f>
        <v>0</v>
      </c>
      <c r="BM54" s="294">
        <f ca="1">IFERROR(IF('Data Entry'!$B$15="UP FRONT",0,VLOOKUP(BM6+1,INDIRECT('Lookup Tables'!$K$3),8,FALSE)),0)</f>
        <v>0</v>
      </c>
      <c r="BN54" s="294">
        <f ca="1">IFERROR(IF('Data Entry'!$B$15="UP FRONT",0,VLOOKUP(BN6+1,INDIRECT('Lookup Tables'!$K$3),8,FALSE)),0)</f>
        <v>0</v>
      </c>
      <c r="BO54" s="294">
        <f ca="1">IFERROR(IF('Data Entry'!$B$15="UP FRONT",0,VLOOKUP(BO6+1,INDIRECT('Lookup Tables'!$K$3),8,FALSE)),0)</f>
        <v>0</v>
      </c>
      <c r="BP54" s="294">
        <f ca="1">IFERROR(IF('Data Entry'!$B$15="UP FRONT",0,VLOOKUP(BP6+1,INDIRECT('Lookup Tables'!$K$3),8,FALSE)),0)</f>
        <v>0</v>
      </c>
      <c r="BQ54" s="294">
        <f ca="1">IFERROR(IF('Data Entry'!$B$15="UP FRONT",0,VLOOKUP(BQ6+1,INDIRECT('Lookup Tables'!$K$3),8,FALSE)),0)</f>
        <v>0</v>
      </c>
      <c r="BR54" s="294">
        <f ca="1">IFERROR(IF('Data Entry'!$B$15="UP FRONT",0,VLOOKUP(BR6+1,INDIRECT('Lookup Tables'!$K$3),8,FALSE)),0)</f>
        <v>0</v>
      </c>
      <c r="BS54" s="294">
        <f ca="1">IFERROR(IF('Data Entry'!$B$15="UP FRONT",0,VLOOKUP(BS6+1,INDIRECT('Lookup Tables'!$K$3),8,FALSE)),0)</f>
        <v>0</v>
      </c>
      <c r="BT54" s="294">
        <f ca="1">IFERROR(IF('Data Entry'!$B$15="UP FRONT",0,VLOOKUP(BT6+1,INDIRECT('Lookup Tables'!$K$3),8,FALSE)),0)</f>
        <v>0</v>
      </c>
      <c r="BU54" s="294">
        <f ca="1">IFERROR(IF('Data Entry'!$B$15="UP FRONT",0,VLOOKUP(BU6+1,INDIRECT('Lookup Tables'!$K$3),8,FALSE)),0)</f>
        <v>0</v>
      </c>
      <c r="BV54" s="294">
        <f ca="1">IFERROR(IF('Data Entry'!$B$15="UP FRONT",0,VLOOKUP(BV6+1,INDIRECT('Lookup Tables'!$K$3),8,FALSE)),0)</f>
        <v>0</v>
      </c>
      <c r="BW54" s="294">
        <f ca="1">IFERROR(IF('Data Entry'!$B$15="UP FRONT",0,VLOOKUP(BW6+1,INDIRECT('Lookup Tables'!$K$3),8,FALSE)),0)</f>
        <v>0</v>
      </c>
      <c r="BX54" s="294">
        <f ca="1">IFERROR(IF('Data Entry'!$B$15="UP FRONT",0,VLOOKUP(BX6+1,INDIRECT('Lookup Tables'!$K$3),8,FALSE)),0)</f>
        <v>0</v>
      </c>
      <c r="BY54" s="294">
        <f ca="1">IFERROR(IF('Data Entry'!$B$15="UP FRONT",0,VLOOKUP(BY6+1,INDIRECT('Lookup Tables'!$K$3),8,FALSE)),0)</f>
        <v>0</v>
      </c>
      <c r="BZ54" s="294">
        <f ca="1">IFERROR(IF('Data Entry'!$B$15="UP FRONT",0,VLOOKUP(BZ6+1,INDIRECT('Lookup Tables'!$K$3),8,FALSE)),0)</f>
        <v>0</v>
      </c>
      <c r="CA54" s="316">
        <f ca="1">IFERROR(IF('Data Entry'!$B$15="UP FRONT",0,VLOOKUP(CA6+1,INDIRECT('Lookup Tables'!$K$3),8,FALSE)),0)</f>
        <v>0</v>
      </c>
      <c r="CB54" s="294">
        <f ca="1">IFERROR(IF('Data Entry'!$B$15="UP FRONT",0,VLOOKUP(CB6+1,INDIRECT('Lookup Tables'!$K$3),8,FALSE)),0)</f>
        <v>0</v>
      </c>
      <c r="CC54" s="294">
        <f ca="1">IFERROR(IF('Data Entry'!$B$15="UP FRONT",0,VLOOKUP(CC6+1,INDIRECT('Lookup Tables'!$K$3),8,FALSE)),0)</f>
        <v>0</v>
      </c>
      <c r="CD54" s="294">
        <f ca="1">IFERROR(IF('Data Entry'!$B$15="UP FRONT",0,VLOOKUP(CD6+1,INDIRECT('Lookup Tables'!$K$3),8,FALSE)),0)</f>
        <v>0</v>
      </c>
      <c r="CE54" s="294">
        <f ca="1">IFERROR(IF('Data Entry'!$B$15="UP FRONT",0,VLOOKUP(CE6+1,INDIRECT('Lookup Tables'!$K$3),8,FALSE)),0)</f>
        <v>0</v>
      </c>
      <c r="CF54" s="294">
        <f ca="1">IFERROR(IF('Data Entry'!$B$15="UP FRONT",0,VLOOKUP(CF6+1,INDIRECT('Lookup Tables'!$K$3),8,FALSE)),0)</f>
        <v>0</v>
      </c>
      <c r="CG54" s="294">
        <f ca="1">IFERROR(IF('Data Entry'!$B$15="UP FRONT",0,VLOOKUP(CG6+1,INDIRECT('Lookup Tables'!$K$3),8,FALSE)),0)</f>
        <v>0</v>
      </c>
      <c r="CH54" s="294">
        <f ca="1">IFERROR(IF('Data Entry'!$B$15="UP FRONT",0,VLOOKUP(CH6+1,INDIRECT('Lookup Tables'!$K$3),8,FALSE)),0)</f>
        <v>0</v>
      </c>
      <c r="CI54" s="294">
        <f ca="1">IFERROR(IF('Data Entry'!$B$15="UP FRONT",0,VLOOKUP(CI6+1,INDIRECT('Lookup Tables'!$K$3),8,FALSE)),0)</f>
        <v>0</v>
      </c>
      <c r="CJ54" s="294">
        <f ca="1">IFERROR(IF('Data Entry'!$B$15="UP FRONT",0,VLOOKUP(CJ6+1,INDIRECT('Lookup Tables'!$K$3),8,FALSE)),0)</f>
        <v>0</v>
      </c>
      <c r="CK54" s="294">
        <f ca="1">IFERROR(IF('Data Entry'!$B$15="UP FRONT",0,VLOOKUP(CK6+1,INDIRECT('Lookup Tables'!$K$3),8,FALSE)),0)</f>
        <v>0</v>
      </c>
      <c r="CL54" s="294">
        <f ca="1">IFERROR(IF('Data Entry'!$B$15="UP FRONT",0,VLOOKUP(CL6+1,INDIRECT('Lookup Tables'!$K$3),8,FALSE)),0)</f>
        <v>0</v>
      </c>
      <c r="CM54" s="294">
        <f ca="1">IFERROR(IF('Data Entry'!$B$15="UP FRONT",0,VLOOKUP(CM6+1,INDIRECT('Lookup Tables'!$K$3),8,FALSE)),0)</f>
        <v>0</v>
      </c>
      <c r="CN54" s="294">
        <f ca="1">IFERROR(IF('Data Entry'!$B$15="UP FRONT",0,VLOOKUP(CN6+1,INDIRECT('Lookup Tables'!$K$3),8,FALSE)),0)</f>
        <v>0</v>
      </c>
      <c r="CO54" s="294">
        <f ca="1">IFERROR(IF('Data Entry'!$B$15="UP FRONT",0,VLOOKUP(CO6+1,INDIRECT('Lookup Tables'!$K$3),8,FALSE)),0)</f>
        <v>0</v>
      </c>
      <c r="CP54" s="294">
        <f ca="1">IFERROR(IF('Data Entry'!$B$15="UP FRONT",0,VLOOKUP(CP6+1,INDIRECT('Lookup Tables'!$K$3),8,FALSE)),0)</f>
        <v>0</v>
      </c>
      <c r="CQ54" s="294">
        <f ca="1">IFERROR(IF('Data Entry'!$B$15="UP FRONT",0,VLOOKUP(CQ6+1,INDIRECT('Lookup Tables'!$K$3),8,FALSE)),0)</f>
        <v>0</v>
      </c>
      <c r="CR54" s="294">
        <f ca="1">IFERROR(IF('Data Entry'!$B$15="UP FRONT",0,VLOOKUP(CR6+1,INDIRECT('Lookup Tables'!$K$3),8,FALSE)),0)</f>
        <v>0</v>
      </c>
      <c r="CS54" s="294">
        <f ca="1">IFERROR(IF('Data Entry'!$B$15="UP FRONT",0,VLOOKUP(CS6+1,INDIRECT('Lookup Tables'!$K$3),8,FALSE)),0)</f>
        <v>0</v>
      </c>
      <c r="CT54" s="294">
        <f ca="1">IFERROR(IF('Data Entry'!$B$15="UP FRONT",0,VLOOKUP(CT6+1,INDIRECT('Lookup Tables'!$K$3),8,FALSE)),0)</f>
        <v>0</v>
      </c>
      <c r="CU54" s="294">
        <f ca="1">IFERROR(IF('Data Entry'!$B$15="UP FRONT",0,VLOOKUP(CU6+1,INDIRECT('Lookup Tables'!$K$3),8,FALSE)),0)</f>
        <v>0</v>
      </c>
      <c r="CV54" s="294">
        <f ca="1">IFERROR(IF('Data Entry'!$B$15="UP FRONT",0,VLOOKUP(CV6+1,INDIRECT('Lookup Tables'!$K$3),8,FALSE)),0)</f>
        <v>0</v>
      </c>
      <c r="CW54" s="294">
        <f ca="1">IFERROR(IF('Data Entry'!$B$15="UP FRONT",0,VLOOKUP(CW6+1,INDIRECT('Lookup Tables'!$K$3),8,FALSE)),0)</f>
        <v>0</v>
      </c>
      <c r="CX54" s="294">
        <f ca="1">IFERROR(IF('Data Entry'!$B$15="UP FRONT",0,VLOOKUP(CX6+1,INDIRECT('Lookup Tables'!$K$3),8,FALSE)),0)</f>
        <v>0</v>
      </c>
      <c r="CY54" s="294">
        <f ca="1">IFERROR(IF('Data Entry'!$B$15="UP FRONT",0,VLOOKUP(CY6+1,INDIRECT('Lookup Tables'!$K$3),8,FALSE)),0)</f>
        <v>0</v>
      </c>
    </row>
    <row r="55" spans="1:103" ht="15" customHeight="1" x14ac:dyDescent="0.2">
      <c r="A55" s="46" t="s">
        <v>10</v>
      </c>
      <c r="B55" s="31" t="s">
        <v>42</v>
      </c>
      <c r="C55" s="269">
        <f t="shared" si="16"/>
        <v>0</v>
      </c>
      <c r="D55" s="454"/>
      <c r="E55" s="454"/>
      <c r="F55" s="454"/>
      <c r="G55" s="454"/>
      <c r="H55" s="454"/>
      <c r="I55" s="454"/>
      <c r="J55" s="454"/>
      <c r="K55" s="454"/>
      <c r="L55" s="454"/>
      <c r="M55" s="454"/>
      <c r="N55" s="454"/>
      <c r="O55" s="454"/>
      <c r="P55" s="454"/>
      <c r="Q55" s="454"/>
      <c r="R55" s="454"/>
      <c r="S55" s="454"/>
      <c r="T55" s="454"/>
      <c r="U55" s="469">
        <f>('Data Entry'!$B$59*'Income Data'!$G$10)</f>
        <v>0</v>
      </c>
      <c r="W55" s="470">
        <f>('Data Entry'!$B$61*'Income Data'!$G$14)+('Data Entry'!$B$65*'Income Data'!$G$17)</f>
        <v>0</v>
      </c>
      <c r="Y55" s="454"/>
      <c r="Z55" s="469">
        <f>('Data Entry'!$B$59*'Income Data'!$G$10)</f>
        <v>0</v>
      </c>
      <c r="AB55" s="471">
        <f>('Data Entry'!$B$61*'Income Data'!$G$14)+('Data Entry'!$B$65*'Income Data'!$G$18)</f>
        <v>0</v>
      </c>
      <c r="AD55" s="454"/>
      <c r="AE55" s="469">
        <f>('Data Entry'!$B$59*'Income Data'!$G$10)</f>
        <v>0</v>
      </c>
      <c r="AF55" s="145"/>
      <c r="AG55" s="471">
        <f>('Data Entry'!$B$61*'Income Data'!$G$14)+('Data Entry'!$B$65*'Income Data'!$G$19)</f>
        <v>0</v>
      </c>
      <c r="AH55" s="414">
        <f>'Data Entry'!$B$60*'Income Data'!$G$13</f>
        <v>0</v>
      </c>
      <c r="AI55" s="454"/>
      <c r="AJ55" s="469">
        <f>('Data Entry'!$B$59*'Income Data'!$G$10)</f>
        <v>0</v>
      </c>
      <c r="AK55" s="145"/>
      <c r="AL55" s="471">
        <f>('Data Entry'!$B$61*'Income Data'!$G$14)+('Data Entry'!$B$65*'Income Data'!$G$20)</f>
        <v>0</v>
      </c>
      <c r="AM55" s="414">
        <f>'Data Entry'!$B$60*'Income Data'!$G$13</f>
        <v>0</v>
      </c>
      <c r="AN55" s="454"/>
      <c r="AO55" s="455"/>
      <c r="AP55" s="454"/>
      <c r="AQ55" s="471">
        <f>IF(AQ6&lt;'Data Entry'!B12,('Data Entry'!$B$61*'Income Data'!$G$14)+('Data Entry'!$B$65*'Income Data'!$G$21),0)</f>
        <v>0</v>
      </c>
      <c r="AR55" s="414">
        <f>IF(AR$6&lt;'Data Entry'!$B$12,'Data Entry'!$B$60*'Income Data'!$G$13,0)</f>
        <v>0</v>
      </c>
      <c r="AS55" s="454"/>
      <c r="AT55" s="454"/>
      <c r="AU55" s="454"/>
      <c r="AV55" s="471">
        <f>IF(AV6&lt;'Data Entry'!B12,('Data Entry'!$B$61*'Income Data'!$G$14)+('Data Entry'!$B$65*'Income Data'!$G$22),0)</f>
        <v>0</v>
      </c>
      <c r="AW55" s="414">
        <f>IF(AW$6&lt;'Data Entry'!$B$12,'Data Entry'!$B$60*'Income Data'!$G$13,0)</f>
        <v>0</v>
      </c>
      <c r="AX55" s="454"/>
      <c r="AY55" s="454"/>
      <c r="AZ55" s="454"/>
      <c r="BA55" s="471">
        <f>IF(BA6&lt;'Data Entry'!B12,('Data Entry'!$B$61*'Income Data'!$G$14)+('Data Entry'!$B$65*'Income Data'!$G$23),0)</f>
        <v>0</v>
      </c>
      <c r="BB55" s="414">
        <f>IF(BB$6&lt;'Data Entry'!$B$12,'Data Entry'!$B$60*'Income Data'!$G$13,0)</f>
        <v>0</v>
      </c>
      <c r="BC55" s="454"/>
      <c r="BD55" s="454"/>
      <c r="BE55" s="454"/>
      <c r="BF55" s="471">
        <f>IF(BF6&lt;'Data Entry'!B12,('Data Entry'!$B$61*'Income Data'!$G$14)+('Data Entry'!$B$65*'Income Data'!$G$24),0)</f>
        <v>0</v>
      </c>
      <c r="BG55" s="469">
        <f>IF(BG6&lt;'Data Entry'!$B12,('Data Entry'!$B$59*'Income Data'!$G$10+'Data Entry'!$B$60*'Income Data'!$G$13),0)</f>
        <v>0</v>
      </c>
      <c r="BH55" s="145"/>
      <c r="BI55" s="454"/>
      <c r="BJ55" s="454"/>
      <c r="BK55" s="472">
        <f>IF(BK6&lt;'Data Entry'!B12,('Data Entry'!B65*'Income Data'!G25),0)</f>
        <v>0</v>
      </c>
      <c r="BL55" s="469">
        <f>IF(BL6&lt;'Data Entry'!$B12,('Data Entry'!$B$59*'Income Data'!$G$10+'Data Entry'!$B$60*'Income Data'!$G$13),0)</f>
        <v>0</v>
      </c>
      <c r="BM55" s="145"/>
      <c r="BN55" s="454"/>
      <c r="BO55" s="454"/>
      <c r="BP55" s="471">
        <f>IF(BP6&lt;'Data Entry'!B12,('Data Entry'!B65*'Income Data'!G26),0)</f>
        <v>0</v>
      </c>
      <c r="BQ55" s="469">
        <f>IF(BQ6&lt;'Data Entry'!$B12,('Data Entry'!$B$59*'Income Data'!$G$10+'Data Entry'!$B$60*'Income Data'!$G$13),0)</f>
        <v>0</v>
      </c>
      <c r="BR55" s="145"/>
      <c r="BS55" s="454"/>
      <c r="BT55" s="454"/>
      <c r="BU55" s="471">
        <f>IF(BU6&lt;'Data Entry'!B12,('Data Entry'!B65*'Income Data'!G27),0)</f>
        <v>0</v>
      </c>
      <c r="BV55" s="469">
        <f>IF(BV6&lt;'Data Entry'!$B12,('Data Entry'!$B$59*'Income Data'!$G$10+'Data Entry'!$B$60*'Income Data'!$G$13),0)</f>
        <v>0</v>
      </c>
      <c r="BW55" s="145"/>
      <c r="BX55" s="454"/>
      <c r="BY55" s="454"/>
      <c r="BZ55" s="473">
        <f>IF(BZ6&lt;'Data Entry'!B12,('Data Entry'!B65*'Income Data'!G28), 0)</f>
        <v>0</v>
      </c>
      <c r="CA55" s="449"/>
      <c r="CB55" s="454"/>
      <c r="CC55" s="454"/>
      <c r="CD55" s="454"/>
      <c r="CE55" s="471">
        <f>IF(CE6&lt;'Data Entry'!B12,('Data Entry'!$B$61*'Income Data'!$G$14)+('Data Entry'!B65*'Income Data'!G29),0)</f>
        <v>0</v>
      </c>
      <c r="CF55" s="474"/>
      <c r="CG55" s="454"/>
      <c r="CH55" s="454"/>
      <c r="CI55" s="454"/>
      <c r="CJ55" s="177">
        <f>IF(CJ6&lt;'Data Entry'!B12,('Data Entry'!$B$61*'Income Data'!$G$14), 0)</f>
        <v>0</v>
      </c>
      <c r="CK55" s="474"/>
      <c r="CL55" s="454"/>
      <c r="CM55" s="454"/>
      <c r="CN55" s="454"/>
      <c r="CO55" s="177">
        <f>IF(CO6&lt;'Data Entry'!B12,('Data Entry'!$B$61*'Income Data'!$G$14), 0)</f>
        <v>0</v>
      </c>
      <c r="CP55" s="474"/>
      <c r="CQ55" s="454"/>
      <c r="CR55" s="454"/>
      <c r="CS55" s="469">
        <f>IF(CS6&lt;'Data Entry'!B12,('Data Entry'!$B$59*'Income Data'!$G$10), 0)</f>
        <v>0</v>
      </c>
      <c r="CT55" s="177">
        <f>IF(CT6&lt;'Data Entry'!B12,('Data Entry'!$B$61*'Income Data'!$G$14), 0)</f>
        <v>0</v>
      </c>
      <c r="CU55" s="145"/>
      <c r="CV55" s="454"/>
      <c r="CW55" s="454"/>
      <c r="CX55" s="454"/>
      <c r="CY55" s="177">
        <f>IF(CY6&lt;'Data Entry'!G12,('Data Entry'!$B$61*'Income Data'!$G$14), 0)</f>
        <v>0</v>
      </c>
    </row>
    <row r="56" spans="1:103" ht="15" customHeight="1" x14ac:dyDescent="0.2">
      <c r="A56" s="47" t="s">
        <v>10</v>
      </c>
      <c r="B56" s="31" t="s">
        <v>43</v>
      </c>
      <c r="C56" s="269">
        <f t="shared" si="16"/>
        <v>0</v>
      </c>
      <c r="D56" s="145"/>
      <c r="E56" s="454"/>
      <c r="F56" s="454"/>
      <c r="G56" s="454"/>
      <c r="H56" s="454"/>
      <c r="I56" s="454"/>
      <c r="J56" s="454"/>
      <c r="K56" s="454"/>
      <c r="L56" s="454"/>
      <c r="M56" s="454"/>
      <c r="N56" s="454"/>
      <c r="O56" s="454"/>
      <c r="P56" s="454"/>
      <c r="Q56" s="454"/>
      <c r="R56" s="454"/>
      <c r="S56" s="454"/>
      <c r="T56" s="454"/>
      <c r="U56" s="454"/>
      <c r="V56" s="454"/>
      <c r="W56" s="454"/>
      <c r="X56" s="454"/>
      <c r="Y56" s="454"/>
      <c r="Z56" s="454"/>
      <c r="AA56" s="454"/>
      <c r="AB56" s="454"/>
      <c r="AC56" s="454"/>
      <c r="AD56" s="454"/>
      <c r="AE56" s="454"/>
      <c r="AF56" s="454"/>
      <c r="AG56" s="454"/>
      <c r="AH56" s="454"/>
      <c r="AI56" s="454"/>
      <c r="AJ56" s="454"/>
      <c r="AK56" s="454"/>
      <c r="AL56" s="454"/>
      <c r="AM56" s="454"/>
      <c r="AN56" s="454"/>
      <c r="AO56" s="445">
        <f>'Data Entry'!$H$59</f>
        <v>0</v>
      </c>
      <c r="AP56" s="474"/>
      <c r="AQ56" s="454"/>
      <c r="AR56" s="145"/>
      <c r="AS56" s="454"/>
      <c r="AT56" s="454"/>
      <c r="AU56" s="454"/>
      <c r="AV56" s="454"/>
      <c r="AW56" s="454"/>
      <c r="AX56" s="454"/>
      <c r="AY56" s="454"/>
      <c r="AZ56" s="454"/>
      <c r="BA56" s="454"/>
      <c r="BB56" s="454"/>
      <c r="BC56" s="454"/>
      <c r="BD56" s="454"/>
      <c r="BE56" s="454"/>
      <c r="BF56" s="454"/>
      <c r="BG56" s="454"/>
      <c r="BH56" s="454"/>
      <c r="BI56" s="454"/>
      <c r="BJ56" s="454"/>
      <c r="BK56" s="445">
        <f>IF(BK6&lt;'Data Entry'!B12,'Data Entry'!H61,0)</f>
        <v>0</v>
      </c>
      <c r="BM56" s="454"/>
      <c r="BN56" s="454"/>
      <c r="BO56" s="454"/>
      <c r="BP56" s="454"/>
      <c r="BQ56" s="454"/>
      <c r="BR56" s="454"/>
      <c r="BS56" s="454"/>
      <c r="BT56" s="454"/>
      <c r="BU56" s="454"/>
      <c r="BV56" s="454"/>
      <c r="BW56" s="454"/>
      <c r="BX56" s="454"/>
      <c r="BY56" s="454"/>
      <c r="BZ56" s="454"/>
      <c r="CA56" s="445">
        <f>IF(CA6&lt;'Data Entry'!B12,'Data Entry'!H59+'Data Entry'!H60,0)</f>
        <v>0</v>
      </c>
      <c r="CC56" s="454"/>
      <c r="CD56" s="454"/>
      <c r="CE56" s="454"/>
      <c r="CF56" s="145"/>
      <c r="CG56" s="454"/>
      <c r="CH56" s="454"/>
      <c r="CI56" s="454"/>
      <c r="CJ56" s="454"/>
      <c r="CK56" s="454"/>
      <c r="CL56" s="454"/>
      <c r="CM56" s="454"/>
      <c r="CN56" s="454"/>
      <c r="CO56" s="454"/>
      <c r="CP56" s="454"/>
      <c r="CQ56" s="454"/>
      <c r="CR56" s="454"/>
      <c r="CS56" s="454"/>
      <c r="CT56" s="454"/>
      <c r="CU56" s="454"/>
      <c r="CV56" s="454"/>
      <c r="CW56" s="454"/>
      <c r="CX56" s="454"/>
      <c r="CY56" s="454"/>
    </row>
    <row r="57" spans="1:103" ht="15" customHeight="1" x14ac:dyDescent="0.2">
      <c r="A57" s="47"/>
      <c r="B57" s="31" t="s">
        <v>202</v>
      </c>
      <c r="C57" s="269">
        <f t="shared" si="16"/>
        <v>0</v>
      </c>
      <c r="D57" s="146">
        <f>IF(D6+1='Data Entry'!$B12,'Data Entry'!$J$69,0)</f>
        <v>0</v>
      </c>
      <c r="E57" s="146">
        <f>IF(E6+1='Data Entry'!$B12,'Data Entry'!$J$69,0)</f>
        <v>0</v>
      </c>
      <c r="F57" s="146">
        <f>IF(F6+1='Data Entry'!$B12,'Data Entry'!$J$69,0)</f>
        <v>0</v>
      </c>
      <c r="G57" s="146">
        <f>IF(G6+1='Data Entry'!$B12,'Data Entry'!$J$69,0)</f>
        <v>0</v>
      </c>
      <c r="H57" s="146">
        <f>IF(H6+1='Data Entry'!$B12,'Data Entry'!$J$69,0)</f>
        <v>0</v>
      </c>
      <c r="I57" s="146">
        <f>IF(I6+1='Data Entry'!$B12,'Data Entry'!$J$69,0)</f>
        <v>0</v>
      </c>
      <c r="J57" s="146">
        <f>IF(J6+1='Data Entry'!$B12,'Data Entry'!$J$69,0)</f>
        <v>0</v>
      </c>
      <c r="K57" s="146">
        <f>IF(K6+1='Data Entry'!$B12,'Data Entry'!$J$69,0)</f>
        <v>0</v>
      </c>
      <c r="L57" s="146">
        <f>IF(L6+1='Data Entry'!$B12,'Data Entry'!$J$69,0)</f>
        <v>0</v>
      </c>
      <c r="M57" s="146">
        <f>IF(M6+1='Data Entry'!$B12,'Data Entry'!$J$69,0)</f>
        <v>0</v>
      </c>
      <c r="N57" s="146">
        <f>IF(N6+1='Data Entry'!$B12,'Data Entry'!$J$69,0)</f>
        <v>0</v>
      </c>
      <c r="O57" s="146">
        <f>IF(O6+1='Data Entry'!$B12,'Data Entry'!$J$69,0)</f>
        <v>0</v>
      </c>
      <c r="P57" s="146">
        <f>IF(P6+1='Data Entry'!$B12,'Data Entry'!$J$69,0)</f>
        <v>0</v>
      </c>
      <c r="Q57" s="146">
        <f>IF(Q6+1='Data Entry'!$B12,'Data Entry'!$J$69,0)</f>
        <v>0</v>
      </c>
      <c r="R57" s="146">
        <f>IF(R6+1='Data Entry'!$B12,'Data Entry'!$J$69,0)</f>
        <v>0</v>
      </c>
      <c r="S57" s="146">
        <f>IF(S6+1='Data Entry'!$B12,'Data Entry'!$J$69,0)</f>
        <v>0</v>
      </c>
      <c r="T57" s="146">
        <f>IF(T6+1='Data Entry'!$B12,'Data Entry'!$J$69,0)</f>
        <v>0</v>
      </c>
      <c r="U57" s="146">
        <f>IF(U6+1='Data Entry'!$B12,'Data Entry'!$J$69,0)</f>
        <v>0</v>
      </c>
      <c r="V57" s="146">
        <f>IF(V6+1='Data Entry'!$B12,'Data Entry'!$J$69,0)</f>
        <v>0</v>
      </c>
      <c r="W57" s="146">
        <f>IF(W6+1='Data Entry'!$B12,'Data Entry'!$J$69,0)</f>
        <v>0</v>
      </c>
      <c r="X57" s="146">
        <f>IF(X6+1='Data Entry'!$B12,'Data Entry'!$J$69,0)</f>
        <v>0</v>
      </c>
      <c r="Y57" s="146">
        <f>IF(Y6+1='Data Entry'!$B12,'Data Entry'!$J$69,0)</f>
        <v>0</v>
      </c>
      <c r="Z57" s="146">
        <f>IF(Z6+1='Data Entry'!$B12,'Data Entry'!$J$69,0)</f>
        <v>0</v>
      </c>
      <c r="AA57" s="146">
        <f>IF(AA6+1='Data Entry'!$B12,'Data Entry'!$J$69,0)</f>
        <v>0</v>
      </c>
      <c r="AB57" s="146">
        <f>IF(AB6+1='Data Entry'!$B12,'Data Entry'!$J$69,0)</f>
        <v>0</v>
      </c>
      <c r="AC57" s="146">
        <f>IF(AC6+1='Data Entry'!$B12,'Data Entry'!$J$69,0)</f>
        <v>0</v>
      </c>
      <c r="AD57" s="146">
        <f>IF(AD6+1='Data Entry'!$B12,'Data Entry'!$J$69,0)</f>
        <v>0</v>
      </c>
      <c r="AE57" s="146">
        <f>IF(AE6+1='Data Entry'!$B12,'Data Entry'!$J$69,0)</f>
        <v>0</v>
      </c>
      <c r="AF57" s="146">
        <f>IF(AF6+1='Data Entry'!$B12,'Data Entry'!$J$69,0)</f>
        <v>0</v>
      </c>
      <c r="AG57" s="146">
        <f>IF(AG6+1='Data Entry'!$B12,'Data Entry'!$J$69,0)</f>
        <v>0</v>
      </c>
      <c r="AH57" s="146">
        <f>IF(AH6+1='Data Entry'!$B12,'Data Entry'!$J$69,0)</f>
        <v>0</v>
      </c>
      <c r="AI57" s="146">
        <f>IF(AI6+1='Data Entry'!$B12,'Data Entry'!$J$69,0)</f>
        <v>0</v>
      </c>
      <c r="AJ57" s="146">
        <f>IF(AJ6+1='Data Entry'!$B12,'Data Entry'!$J$69,0)</f>
        <v>0</v>
      </c>
      <c r="AK57" s="146">
        <f>IF(AK6+1='Data Entry'!$B12,'Data Entry'!$J$69,0)</f>
        <v>0</v>
      </c>
      <c r="AL57" s="146">
        <f>IF(AL6+1='Data Entry'!$B12,'Data Entry'!$J$69,0)</f>
        <v>0</v>
      </c>
      <c r="AM57" s="146">
        <f>IF(AM6+1='Data Entry'!$B12,'Data Entry'!$J$69,0)</f>
        <v>0</v>
      </c>
      <c r="AN57" s="146">
        <f>IF(AN6+1='Data Entry'!$B12,'Data Entry'!$J$69,0)</f>
        <v>0</v>
      </c>
      <c r="AO57" s="446">
        <f>IF(AO6+1='Data Entry'!$B12,'Data Entry'!$J$69,0)</f>
        <v>0</v>
      </c>
      <c r="AP57" s="146">
        <f>IF(AP6+1='Data Entry'!$B12,'Data Entry'!$J$69,0)</f>
        <v>0</v>
      </c>
      <c r="AQ57" s="146">
        <f>IF(AQ6+1='Data Entry'!$B12,'Data Entry'!$J$69,0)</f>
        <v>0</v>
      </c>
      <c r="AR57" s="146">
        <f>IF(AR6+1='Data Entry'!$B12,'Data Entry'!$J$69,0)</f>
        <v>0</v>
      </c>
      <c r="AS57" s="146">
        <f>IF(AS6+1='Data Entry'!$B12,'Data Entry'!$J$69,0)</f>
        <v>0</v>
      </c>
      <c r="AT57" s="146">
        <f>IF(AT6+1='Data Entry'!$B12,'Data Entry'!$J$69,0)</f>
        <v>0</v>
      </c>
      <c r="AU57" s="146">
        <f>IF(AU6+1='Data Entry'!$B12,'Data Entry'!$J$69,0)</f>
        <v>0</v>
      </c>
      <c r="AV57" s="146">
        <f>IF(AV6+1='Data Entry'!$B12,'Data Entry'!$J$69,0)</f>
        <v>0</v>
      </c>
      <c r="AW57" s="146">
        <f>IF(AW6+1='Data Entry'!$B12,'Data Entry'!$J$69,0)</f>
        <v>0</v>
      </c>
      <c r="AX57" s="146">
        <f>IF(AX6+1='Data Entry'!$B12,'Data Entry'!$J$69,0)</f>
        <v>0</v>
      </c>
      <c r="AY57" s="146">
        <f>IF(AY6+1='Data Entry'!$B12,'Data Entry'!$J$69,0)</f>
        <v>0</v>
      </c>
      <c r="AZ57" s="146">
        <f>IF(AZ6+1='Data Entry'!$B12,'Data Entry'!$J$69,0)</f>
        <v>0</v>
      </c>
      <c r="BA57" s="146">
        <f>IF(BA6+1='Data Entry'!$B12,'Data Entry'!$J$69,0)</f>
        <v>0</v>
      </c>
      <c r="BB57" s="146">
        <f>IF(BB6+1='Data Entry'!$B12,'Data Entry'!$J$69,0)</f>
        <v>0</v>
      </c>
      <c r="BC57" s="146">
        <f>IF(BC6+1='Data Entry'!$B12,'Data Entry'!$J$69,0)</f>
        <v>0</v>
      </c>
      <c r="BD57" s="146">
        <f>IF(BD6+1='Data Entry'!$B12,'Data Entry'!$J$69,0)</f>
        <v>0</v>
      </c>
      <c r="BE57" s="146">
        <f>IF(BE6+1='Data Entry'!$B12,'Data Entry'!$J$69,0)</f>
        <v>0</v>
      </c>
      <c r="BF57" s="146">
        <f>IF(BF6+1='Data Entry'!$B12,'Data Entry'!$J$69,0)</f>
        <v>0</v>
      </c>
      <c r="BG57" s="146">
        <f>IF(BG6+1='Data Entry'!$B12,'Data Entry'!$J$69,0)</f>
        <v>0</v>
      </c>
      <c r="BH57" s="146">
        <f>IF(BH6+1='Data Entry'!$B12,'Data Entry'!$J$69,0)</f>
        <v>0</v>
      </c>
      <c r="BI57" s="146">
        <f>IF(BI6+1='Data Entry'!$B12,'Data Entry'!$J$69,0)</f>
        <v>0</v>
      </c>
      <c r="BJ57" s="146">
        <f>IF(BJ6+1='Data Entry'!$B12,'Data Entry'!$J$69,0)</f>
        <v>0</v>
      </c>
      <c r="BK57" s="446">
        <f>IF(BK6+1='Data Entry'!$B12,'Data Entry'!$J$69,0)</f>
        <v>0</v>
      </c>
      <c r="BL57" s="146">
        <f>IF(BL6+1='Data Entry'!$B12,'Data Entry'!$J$69,0)</f>
        <v>0</v>
      </c>
      <c r="BM57" s="146">
        <f>IF(BM6+1='Data Entry'!$B12,'Data Entry'!$J$69,0)</f>
        <v>0</v>
      </c>
      <c r="BN57" s="146">
        <f>IF(BN6+1='Data Entry'!$B12,'Data Entry'!$J$69,0)</f>
        <v>0</v>
      </c>
      <c r="BO57" s="146">
        <f>IF(BO6+1='Data Entry'!$B12,'Data Entry'!$J$69,0)</f>
        <v>0</v>
      </c>
      <c r="BP57" s="146">
        <f>IF(BP6+1='Data Entry'!$B12,'Data Entry'!$J$69,0)</f>
        <v>0</v>
      </c>
      <c r="BQ57" s="146">
        <f>IF(BQ6+1='Data Entry'!$B12,'Data Entry'!$J$69,0)</f>
        <v>0</v>
      </c>
      <c r="BR57" s="146">
        <f>IF(BR6+1='Data Entry'!$B12,'Data Entry'!$J$69,0)</f>
        <v>0</v>
      </c>
      <c r="BS57" s="146">
        <f>IF(BS6+1='Data Entry'!$B12,'Data Entry'!$J$69,0)</f>
        <v>0</v>
      </c>
      <c r="BT57" s="146">
        <f>IF(BT6+1='Data Entry'!$B12,'Data Entry'!$J$69,0)</f>
        <v>0</v>
      </c>
      <c r="BU57" s="146">
        <f>IF(BU6+1='Data Entry'!$B12,'Data Entry'!$J$69,0)</f>
        <v>0</v>
      </c>
      <c r="BV57" s="146">
        <f>IF(BV6+1='Data Entry'!$B12,'Data Entry'!$J$69,0)</f>
        <v>0</v>
      </c>
      <c r="BW57" s="146">
        <f>IF(BW6+1='Data Entry'!$B12,'Data Entry'!$J$69,0)</f>
        <v>0</v>
      </c>
      <c r="BX57" s="146">
        <f>IF(BX6+1='Data Entry'!$B12,'Data Entry'!$J$69,0)</f>
        <v>0</v>
      </c>
      <c r="BY57" s="146">
        <f>IF(BY6+1='Data Entry'!$B12,'Data Entry'!$J$69,0)</f>
        <v>0</v>
      </c>
      <c r="BZ57" s="146">
        <f>IF(BZ6+1='Data Entry'!$B12,'Data Entry'!$J$69,0)</f>
        <v>0</v>
      </c>
      <c r="CA57" s="446">
        <f>IF(CA6+1='Data Entry'!$B12,'Data Entry'!$J$69,0)</f>
        <v>0</v>
      </c>
      <c r="CB57" s="146">
        <f>IF(CB6+1='Data Entry'!$B12,'Data Entry'!$J$69,0)</f>
        <v>0</v>
      </c>
      <c r="CC57" s="146">
        <f>IF(CC6+1='Data Entry'!$B12,'Data Entry'!$J$69,0)</f>
        <v>0</v>
      </c>
      <c r="CD57" s="146">
        <f>IF(CD6+1='Data Entry'!$B12,'Data Entry'!$J$69,0)</f>
        <v>0</v>
      </c>
      <c r="CE57" s="146">
        <f>IF(CE6+1='Data Entry'!$B12,'Data Entry'!$J$69,0)</f>
        <v>0</v>
      </c>
      <c r="CF57" s="146">
        <f>IF(CF6+1='Data Entry'!$B12,'Data Entry'!$J$69,0)</f>
        <v>0</v>
      </c>
      <c r="CG57" s="146">
        <f>IF(CG6+1='Data Entry'!$B12,'Data Entry'!$J$69,0)</f>
        <v>0</v>
      </c>
      <c r="CH57" s="146">
        <f>IF(CH6+1='Data Entry'!$B12,'Data Entry'!$J$69,0)</f>
        <v>0</v>
      </c>
      <c r="CI57" s="146">
        <f>IF(CI6+1='Data Entry'!$B12,'Data Entry'!$J$69,0)</f>
        <v>0</v>
      </c>
      <c r="CJ57" s="146">
        <f>IF(CJ6+1='Data Entry'!$B12,'Data Entry'!$J$69,0)</f>
        <v>0</v>
      </c>
      <c r="CK57" s="146">
        <f>IF(CK6+1='Data Entry'!$B12,'Data Entry'!$J$69,0)</f>
        <v>0</v>
      </c>
      <c r="CL57" s="146">
        <f>IF(CL6+1='Data Entry'!$B12,'Data Entry'!$J$69,0)</f>
        <v>0</v>
      </c>
      <c r="CM57" s="146">
        <f>IF(CM6+1='Data Entry'!$B12,'Data Entry'!$J$69,0)</f>
        <v>0</v>
      </c>
      <c r="CN57" s="146">
        <f>IF(CN6+1='Data Entry'!$B12,'Data Entry'!$J$69,0)</f>
        <v>0</v>
      </c>
      <c r="CO57" s="146">
        <f>IF(CO6+1='Data Entry'!$B12,'Data Entry'!$J$69,0)</f>
        <v>0</v>
      </c>
      <c r="CP57" s="146">
        <f>IF(CP6+1='Data Entry'!$B12,'Data Entry'!$J$69,0)</f>
        <v>0</v>
      </c>
      <c r="CQ57" s="146">
        <f>IF(CQ6+1='Data Entry'!$B12,'Data Entry'!$J$69,0)</f>
        <v>0</v>
      </c>
      <c r="CR57" s="146">
        <f>IF(CR6+1='Data Entry'!$B12,'Data Entry'!$J$69,0)</f>
        <v>0</v>
      </c>
      <c r="CS57" s="146">
        <f>IF(CS6+1='Data Entry'!$B12,'Data Entry'!$J$69,0)</f>
        <v>0</v>
      </c>
      <c r="CT57" s="146">
        <f>IF(CT6+1='Data Entry'!$B12,'Data Entry'!$J$69,0)</f>
        <v>0</v>
      </c>
      <c r="CU57" s="146">
        <f>IF(CU6+1='Data Entry'!$B12,'Data Entry'!$J$69,0)</f>
        <v>0</v>
      </c>
      <c r="CV57" s="146">
        <f>IF(CV6+1='Data Entry'!$B12,'Data Entry'!$J$69,0)</f>
        <v>0</v>
      </c>
      <c r="CW57" s="146">
        <f>IF(CW6+1='Data Entry'!$B12,'Data Entry'!$J$69,0)</f>
        <v>0</v>
      </c>
      <c r="CX57" s="146">
        <f>IF(CX6+1='Data Entry'!$B12,'Data Entry'!$J$69,0)</f>
        <v>0</v>
      </c>
      <c r="CY57" s="146">
        <f>IF(CY6+1='Data Entry'!$B12,'Data Entry'!$J$69,0)</f>
        <v>0</v>
      </c>
    </row>
    <row r="58" spans="1:103" ht="15" customHeight="1" x14ac:dyDescent="0.2">
      <c r="A58" s="47" t="s">
        <v>77</v>
      </c>
      <c r="B58" s="465" t="str">
        <f>'Data Entry'!A88</f>
        <v>Name of sponsorship</v>
      </c>
      <c r="C58" s="269">
        <f t="shared" si="16"/>
        <v>0</v>
      </c>
      <c r="D58" s="177">
        <f>IF(D$6&lt;'Data Entry'!$B$12,IF('Data Entry'!$C$88="Annual",'Data Entry'!$B$88,(IF(AND('Data Entry'!$C$88="One-off in Year X (Specify)",'Data Entry'!$D$88=Cashflow!D$5),'Data Entry'!$B$88,0))),0)</f>
        <v>0</v>
      </c>
      <c r="E58" s="177">
        <f>IF(E6&lt;'Data Entry'!$B$12,IF('Data Entry'!$C$88="Annual",'Data Entry'!$B$88,(IF(AND('Data Entry'!$C$88="One-off in Year X (Specify)",'Data Entry'!$D$88=Cashflow!E$5),'Data Entry'!$B$88,0))),0)</f>
        <v>0</v>
      </c>
      <c r="F58" s="177">
        <f>IF(F6&lt;'Data Entry'!$B$12,IF('Data Entry'!$C$88="Annual",'Data Entry'!$B$88,(IF(AND('Data Entry'!$C$88="One-off in Year X (Specify)",'Data Entry'!$D$88=Cashflow!F$5),'Data Entry'!$B$88,0))),0)</f>
        <v>0</v>
      </c>
      <c r="G58" s="177">
        <f>IF(G6&lt;'Data Entry'!$B$12,IF('Data Entry'!$C$88="Annual",'Data Entry'!$B$88,(IF(AND('Data Entry'!$C$88="One-off in Year X (Specify)",'Data Entry'!$D$88=Cashflow!G$5),'Data Entry'!$B$88,0))),0)</f>
        <v>0</v>
      </c>
      <c r="H58" s="177">
        <f>IF(H6&lt;'Data Entry'!$B$12,IF('Data Entry'!$C$88="Annual",'Data Entry'!$B$88,(IF(AND('Data Entry'!$C$88="One-off in Year X (Specify)",'Data Entry'!$D$88=Cashflow!H$5),'Data Entry'!$B$88,0))),0)</f>
        <v>0</v>
      </c>
      <c r="I58" s="177">
        <f>IF(I6&lt;'Data Entry'!$B$12,IF('Data Entry'!$C$88="Annual",'Data Entry'!$B$88,(IF(AND('Data Entry'!$C$88="One-off in Year X (Specify)",'Data Entry'!$D$88=Cashflow!I$5),'Data Entry'!$B$88,0))),0)</f>
        <v>0</v>
      </c>
      <c r="J58" s="177">
        <f>IF(J6&lt;'Data Entry'!$B$12,IF('Data Entry'!$C$88="Annual",'Data Entry'!$B$88,(IF(AND('Data Entry'!$C$88="One-off in Year X (Specify)",'Data Entry'!$D$88=Cashflow!J$5),'Data Entry'!$B$88,0))),0)</f>
        <v>0</v>
      </c>
      <c r="K58" s="177">
        <f>IF(K6&lt;'Data Entry'!$B$12,IF('Data Entry'!$C$88="Annual",'Data Entry'!$B$88,(IF(AND('Data Entry'!$C$88="One-off in Year X (Specify)",'Data Entry'!$D$88=Cashflow!K$5),'Data Entry'!$B$88,0))),0)</f>
        <v>0</v>
      </c>
      <c r="L58" s="177">
        <f>IF(L6&lt;'Data Entry'!$B$12,IF('Data Entry'!$C$88="Annual",'Data Entry'!$B$88,(IF(AND('Data Entry'!$C$88="One-off in Year X (Specify)",'Data Entry'!$D$88=Cashflow!L$5),'Data Entry'!$B$88,0))),0)</f>
        <v>0</v>
      </c>
      <c r="M58" s="177">
        <f>IF(M6&lt;'Data Entry'!$B$12,IF('Data Entry'!$C$88="Annual",'Data Entry'!$B$88,(IF(AND('Data Entry'!$C$88="One-off in Year X (Specify)",'Data Entry'!$D$88=Cashflow!M$5),'Data Entry'!$B$88,0))),0)</f>
        <v>0</v>
      </c>
      <c r="N58" s="177">
        <f>IF(N6&lt;'Data Entry'!$B$12,IF('Data Entry'!$C$88="Annual",'Data Entry'!$B$88,(IF(AND('Data Entry'!$C$88="One-off in Year X (Specify)",'Data Entry'!$D$88=Cashflow!N$5),'Data Entry'!$B$88,0))),0)</f>
        <v>0</v>
      </c>
      <c r="O58" s="177">
        <f>IF(O6&lt;'Data Entry'!$B$12,IF('Data Entry'!$C$88="Annual",'Data Entry'!$B$88,(IF(AND('Data Entry'!$C$88="One-off in Year X (Specify)",'Data Entry'!$D$88=Cashflow!O$5),'Data Entry'!$B$88,0))),0)</f>
        <v>0</v>
      </c>
      <c r="P58" s="177">
        <f>IF(P6&lt;'Data Entry'!$B$12,IF('Data Entry'!$C$88="Annual",'Data Entry'!$B$88,(IF(AND('Data Entry'!$C$88="One-off in Year X (Specify)",'Data Entry'!$D$88=Cashflow!P$5),'Data Entry'!$B$88,0))),0)</f>
        <v>0</v>
      </c>
      <c r="Q58" s="177">
        <f>IF(Q6&lt;'Data Entry'!$B$12,IF('Data Entry'!$C$88="Annual",'Data Entry'!$B$88,(IF(AND('Data Entry'!$C$88="One-off in Year X (Specify)",'Data Entry'!$D$88=Cashflow!Q$5),'Data Entry'!$B$88,0))),0)</f>
        <v>0</v>
      </c>
      <c r="R58" s="177">
        <f>IF(R6&lt;'Data Entry'!$B$12,IF('Data Entry'!$C$88="Annual",'Data Entry'!$B$88,(IF(AND('Data Entry'!$C$88="One-off in Year X (Specify)",'Data Entry'!$D$88=Cashflow!R$5),'Data Entry'!$B$88,0))),0)</f>
        <v>0</v>
      </c>
      <c r="S58" s="177">
        <f>IF(S6&lt;'Data Entry'!$B$12,IF('Data Entry'!$C$88="Annual",'Data Entry'!$B$88,(IF(AND('Data Entry'!$C$88="One-off in Year X (Specify)",'Data Entry'!$D$88=Cashflow!S$5),'Data Entry'!$B$88,0))),0)</f>
        <v>0</v>
      </c>
      <c r="T58" s="177">
        <f>IF(T6&lt;'Data Entry'!$B$12,IF('Data Entry'!$C$88="Annual",'Data Entry'!$B$88,(IF(AND('Data Entry'!$C$88="One-off in Year X (Specify)",'Data Entry'!$D$88=Cashflow!T$5),'Data Entry'!$B$88,0))),0)</f>
        <v>0</v>
      </c>
      <c r="U58" s="177">
        <f>IF(U6&lt;'Data Entry'!$B$12,IF('Data Entry'!$C$88="Annual",'Data Entry'!$B$88,(IF(AND('Data Entry'!$C$88="One-off in Year X (Specify)",'Data Entry'!$D$88=Cashflow!U$5),'Data Entry'!$B$88,0))),0)</f>
        <v>0</v>
      </c>
      <c r="V58" s="177">
        <f>IF(V6&lt;'Data Entry'!$B$12,IF('Data Entry'!$C$88="Annual",'Data Entry'!$B$88,(IF(AND('Data Entry'!$C$88="One-off in Year X (Specify)",'Data Entry'!$D$88=Cashflow!V$5),'Data Entry'!$B$88,0))),0)</f>
        <v>0</v>
      </c>
      <c r="W58" s="177">
        <f>IF(W6&lt;'Data Entry'!$B$12,IF('Data Entry'!$C$88="Annual",'Data Entry'!$B$88,(IF(AND('Data Entry'!$C$88="One-off in Year X (Specify)",'Data Entry'!$D$88=Cashflow!W$5),'Data Entry'!$B$88,0))),0)</f>
        <v>0</v>
      </c>
      <c r="X58" s="177">
        <f>IF(X6&lt;'Data Entry'!$B$12,IF('Data Entry'!$C$88="Annual",'Data Entry'!$B$88,(IF(AND('Data Entry'!$C$88="One-off in Year X (Specify)",'Data Entry'!$D$88=Cashflow!X$5),'Data Entry'!$B$88,0))),0)</f>
        <v>0</v>
      </c>
      <c r="Y58" s="177">
        <f>IF(Y6&lt;'Data Entry'!$B$12,IF('Data Entry'!$C$88="Annual",'Data Entry'!$B$88,(IF(AND('Data Entry'!$C$88="One-off in Year X (Specify)",'Data Entry'!$D$88=Cashflow!Y$5),'Data Entry'!$B$88,0))),0)</f>
        <v>0</v>
      </c>
      <c r="Z58" s="177">
        <f>IF(Z6&lt;'Data Entry'!$B$12,IF('Data Entry'!$C$88="Annual",'Data Entry'!$B$88,(IF(AND('Data Entry'!$C$88="One-off in Year X (Specify)",'Data Entry'!$D$88=Cashflow!Z$5),'Data Entry'!$B$88,0))),0)</f>
        <v>0</v>
      </c>
      <c r="AA58" s="177">
        <f>IF(AA6&lt;'Data Entry'!$B$12,IF('Data Entry'!$C$88="Annual",'Data Entry'!$B$88,(IF(AND('Data Entry'!$C$88="One-off in Year X (Specify)",'Data Entry'!$D$88=Cashflow!AA$5),'Data Entry'!$B$88,0))),0)</f>
        <v>0</v>
      </c>
      <c r="AB58" s="177">
        <f>IF(AB6&lt;'Data Entry'!$B$12,IF('Data Entry'!$C$88="Annual",'Data Entry'!$B$88,(IF(AND('Data Entry'!$C$88="One-off in Year X (Specify)",'Data Entry'!$D$88=Cashflow!AB$5),'Data Entry'!$B$88,0))),0)</f>
        <v>0</v>
      </c>
      <c r="AC58" s="177">
        <f>IF(AC6&lt;'Data Entry'!$B$12,IF('Data Entry'!$C$88="Annual",'Data Entry'!$B$88,(IF(AND('Data Entry'!$C$88="One-off in Year X (Specify)",'Data Entry'!$D$88=Cashflow!AC$5),'Data Entry'!$B$88,0))),0)</f>
        <v>0</v>
      </c>
      <c r="AD58" s="177">
        <f>IF(AD6&lt;'Data Entry'!$B$12,IF('Data Entry'!$C$88="Annual",'Data Entry'!$B$88,(IF(AND('Data Entry'!$C$88="One-off in Year X (Specify)",'Data Entry'!$D$88=Cashflow!AD$5),'Data Entry'!$B$88,0))),0)</f>
        <v>0</v>
      </c>
      <c r="AE58" s="177">
        <f>IF(AE6&lt;'Data Entry'!$B$12,IF('Data Entry'!$C$88="Annual",'Data Entry'!$B$88,(IF(AND('Data Entry'!$C$88="One-off in Year X (Specify)",'Data Entry'!$D$88=Cashflow!AE$5),'Data Entry'!$B$88,0))),0)</f>
        <v>0</v>
      </c>
      <c r="AF58" s="177">
        <f>IF(AF6&lt;'Data Entry'!$B$12,IF('Data Entry'!$C$88="Annual",'Data Entry'!$B$88,(IF(AND('Data Entry'!$C$88="One-off in Year X (Specify)",'Data Entry'!$D$88=Cashflow!AF$5),'Data Entry'!$B$88,0))),0)</f>
        <v>0</v>
      </c>
      <c r="AG58" s="177">
        <f>IF(AG6&lt;'Data Entry'!$B$12,IF('Data Entry'!$C$88="Annual",'Data Entry'!$B$88,(IF(AND('Data Entry'!$C$88="One-off in Year X (Specify)",'Data Entry'!$D$88=Cashflow!AG$5),'Data Entry'!$B$88,0))),0)</f>
        <v>0</v>
      </c>
      <c r="AH58" s="177">
        <f>IF(AH6&lt;'Data Entry'!$B$12,IF('Data Entry'!$C$88="Annual",'Data Entry'!$B$88,(IF(AND('Data Entry'!$C$88="One-off in Year X (Specify)",'Data Entry'!$D$88=Cashflow!AH$5),'Data Entry'!$B$88,0))),0)</f>
        <v>0</v>
      </c>
      <c r="AI58" s="177">
        <f>IF(AI6&lt;'Data Entry'!$B$12,IF('Data Entry'!$C$88="Annual",'Data Entry'!$B$88,(IF(AND('Data Entry'!$C$88="One-off in Year X (Specify)",'Data Entry'!$D$88=Cashflow!AI$5),'Data Entry'!$B$88,0))),0)</f>
        <v>0</v>
      </c>
      <c r="AJ58" s="177">
        <f>IF(AJ6&lt;'Data Entry'!$B$12,IF('Data Entry'!$C$88="Annual",'Data Entry'!$B$88,(IF(AND('Data Entry'!$C$88="One-off in Year X (Specify)",'Data Entry'!$D$88=Cashflow!AJ$5),'Data Entry'!$B$88,0))),0)</f>
        <v>0</v>
      </c>
      <c r="AK58" s="177">
        <f>IF(AK6&lt;'Data Entry'!$B$12,IF('Data Entry'!$C$88="Annual",'Data Entry'!$B$88,(IF(AND('Data Entry'!$C$88="One-off in Year X (Specify)",'Data Entry'!$D$88=Cashflow!AK$5),'Data Entry'!$B$88,0))),0)</f>
        <v>0</v>
      </c>
      <c r="AL58" s="177">
        <f>IF(AL6&lt;'Data Entry'!$B$12,IF('Data Entry'!$C$88="Annual",'Data Entry'!$B$88,(IF(AND('Data Entry'!$C$88="One-off in Year X (Specify)",'Data Entry'!$D$88=Cashflow!AL$5),'Data Entry'!$B$88,0))),0)</f>
        <v>0</v>
      </c>
      <c r="AM58" s="177">
        <f>IF(AM6&lt;'Data Entry'!$B$12,IF('Data Entry'!$C$88="Annual",'Data Entry'!$B$88,(IF(AND('Data Entry'!$C$88="One-off in Year X (Specify)",'Data Entry'!$D$88=Cashflow!AM$5),'Data Entry'!$B$88,0))),0)</f>
        <v>0</v>
      </c>
      <c r="AN58" s="177">
        <f>IF(AN6&lt;'Data Entry'!$B$12,IF('Data Entry'!$C$88="Annual",'Data Entry'!$B$88,(IF(AND('Data Entry'!$C$88="One-off in Year X (Specify)",'Data Entry'!$D$88=Cashflow!AN$5),'Data Entry'!$B$88,0))),0)</f>
        <v>0</v>
      </c>
      <c r="AO58" s="445">
        <f>IF(AO6&lt;'Data Entry'!$B$12,IF('Data Entry'!$C$88="Annual",'Data Entry'!$B$88,(IF(AND('Data Entry'!$C$88="One-off in Year X (Specify)",'Data Entry'!$D$88=Cashflow!AO$5),'Data Entry'!$B$88,0))),0)</f>
        <v>0</v>
      </c>
      <c r="AP58" s="177">
        <f>IF(AP6&lt;'Data Entry'!$B$12,IF('Data Entry'!$C$88="Annual",'Data Entry'!$B$88,(IF(AND('Data Entry'!$C$88="One-off in Year X (Specify)",'Data Entry'!$D$88=Cashflow!AP$5),'Data Entry'!$B$88,0))),0)</f>
        <v>0</v>
      </c>
      <c r="AQ58" s="177">
        <f>IF(AQ6&lt;'Data Entry'!$B$12,IF('Data Entry'!$C$88="Annual",'Data Entry'!$B$88,(IF(AND('Data Entry'!$C$88="One-off in Year X (Specify)",'Data Entry'!$D$88=Cashflow!AQ$5),'Data Entry'!$B$88,0))),0)</f>
        <v>0</v>
      </c>
      <c r="AR58" s="177">
        <f>IF(AR6&lt;'Data Entry'!$B$12,IF('Data Entry'!$C$88="Annual",'Data Entry'!$B$88,(IF(AND('Data Entry'!$C$88="One-off in Year X (Specify)",'Data Entry'!$D$88=Cashflow!AR$5),'Data Entry'!$B$88,0))),0)</f>
        <v>0</v>
      </c>
      <c r="AS58" s="177">
        <f>IF(AS6&lt;'Data Entry'!$B$12,IF('Data Entry'!$C$88="Annual",'Data Entry'!$B$88,(IF(AND('Data Entry'!$C$88="One-off in Year X (Specify)",'Data Entry'!$D$88=Cashflow!AS$5),'Data Entry'!$B$88,0))),0)</f>
        <v>0</v>
      </c>
      <c r="AT58" s="177">
        <f>IF(AT6&lt;'Data Entry'!$B$12,IF('Data Entry'!$C$88="Annual",'Data Entry'!$B$88,(IF(AND('Data Entry'!$C$88="One-off in Year X (Specify)",'Data Entry'!$D$88=Cashflow!AT$5),'Data Entry'!$B$88,0))),0)</f>
        <v>0</v>
      </c>
      <c r="AU58" s="177">
        <f>IF(AU6&lt;'Data Entry'!$B$12,IF('Data Entry'!$C$88="Annual",'Data Entry'!$B$88,(IF(AND('Data Entry'!$C$88="One-off in Year X (Specify)",'Data Entry'!$D$88=Cashflow!AU$5),'Data Entry'!$B$88,0))),0)</f>
        <v>0</v>
      </c>
      <c r="AV58" s="177">
        <f>IF(AV6&lt;'Data Entry'!$B$12,IF('Data Entry'!$C$88="Annual",'Data Entry'!$B$88,(IF(AND('Data Entry'!$C$88="One-off in Year X (Specify)",'Data Entry'!$D$88=Cashflow!AV$5),'Data Entry'!$B$88,0))),0)</f>
        <v>0</v>
      </c>
      <c r="AW58" s="177">
        <f>IF(AW6&lt;'Data Entry'!$B$12,IF('Data Entry'!$C$88="Annual",'Data Entry'!$B$88,(IF(AND('Data Entry'!$C$88="One-off in Year X (Specify)",'Data Entry'!$D$88=Cashflow!AW$5),'Data Entry'!$B$88,0))),0)</f>
        <v>0</v>
      </c>
      <c r="AX58" s="177">
        <f>IF(AX6&lt;'Data Entry'!$B$12,IF('Data Entry'!$C$88="Annual",'Data Entry'!$B$88,(IF(AND('Data Entry'!$C$88="One-off in Year X (Specify)",'Data Entry'!$D$88=Cashflow!AX$5),'Data Entry'!$B$88,0))),0)</f>
        <v>0</v>
      </c>
      <c r="AY58" s="177">
        <f>IF(AY6&lt;'Data Entry'!$B$12,IF('Data Entry'!$C$88="Annual",'Data Entry'!$B$88,(IF(AND('Data Entry'!$C$88="One-off in Year X (Specify)",'Data Entry'!$D$88=Cashflow!AY$5),'Data Entry'!$B$88,0))),0)</f>
        <v>0</v>
      </c>
      <c r="AZ58" s="177">
        <f>IF(AZ6&lt;'Data Entry'!$B$12,IF('Data Entry'!$C$88="Annual",'Data Entry'!$B$88,(IF(AND('Data Entry'!$C$88="One-off in Year X (Specify)",'Data Entry'!$D$88=Cashflow!AZ$5),'Data Entry'!$B$88,0))),0)</f>
        <v>0</v>
      </c>
      <c r="BA58" s="177">
        <f>IF(BA6&lt;'Data Entry'!$B$12,IF('Data Entry'!$C$88="Annual",'Data Entry'!$B$88,(IF(AND('Data Entry'!$C$88="One-off in Year X (Specify)",'Data Entry'!$D$88=Cashflow!BA$5),'Data Entry'!$B$88,0))),0)</f>
        <v>0</v>
      </c>
      <c r="BB58" s="177">
        <f>IF(BB6&lt;'Data Entry'!$B$12,IF('Data Entry'!$C$88="Annual",'Data Entry'!$B$88,(IF(AND('Data Entry'!$C$88="One-off in Year X (Specify)",'Data Entry'!$D$88=Cashflow!BB$5),'Data Entry'!$B$88,0))),0)</f>
        <v>0</v>
      </c>
      <c r="BC58" s="177">
        <f>IF(BC6&lt;'Data Entry'!$B$12,IF('Data Entry'!$C$88="Annual",'Data Entry'!$B$88,(IF(AND('Data Entry'!$C$88="One-off in Year X (Specify)",'Data Entry'!$D$88=Cashflow!BC$5),'Data Entry'!$B$88,0))),0)</f>
        <v>0</v>
      </c>
      <c r="BD58" s="177">
        <f>IF(BD6&lt;'Data Entry'!$B$12,IF('Data Entry'!$C$88="Annual",'Data Entry'!$B$88,(IF(AND('Data Entry'!$C$88="One-off in Year X (Specify)",'Data Entry'!$D$88=Cashflow!BD$5),'Data Entry'!$B$88,0))),0)</f>
        <v>0</v>
      </c>
      <c r="BE58" s="177">
        <f>IF(BE6&lt;'Data Entry'!$B$12,IF('Data Entry'!$C$88="Annual",'Data Entry'!$B$88,(IF(AND('Data Entry'!$C$88="One-off in Year X (Specify)",'Data Entry'!$D$88=Cashflow!BE$5),'Data Entry'!$B$88,0))),0)</f>
        <v>0</v>
      </c>
      <c r="BF58" s="177">
        <f>IF(BF6&lt;'Data Entry'!$B$12,IF('Data Entry'!$C$88="Annual",'Data Entry'!$B$88,(IF(AND('Data Entry'!$C$88="One-off in Year X (Specify)",'Data Entry'!$D$88=Cashflow!BF$5),'Data Entry'!$B$88,0))),0)</f>
        <v>0</v>
      </c>
      <c r="BG58" s="177">
        <f>IF(BG6&lt;'Data Entry'!$B$12,IF('Data Entry'!$C$88="Annual",'Data Entry'!$B$88,(IF(AND('Data Entry'!$C$88="One-off in Year X (Specify)",'Data Entry'!$D$88=Cashflow!BG$5),'Data Entry'!$B$88,0))),0)</f>
        <v>0</v>
      </c>
      <c r="BH58" s="177">
        <f>IF(BH6&lt;'Data Entry'!$B$12,IF('Data Entry'!$C$88="Annual",'Data Entry'!$B$88,(IF(AND('Data Entry'!$C$88="One-off in Year X (Specify)",'Data Entry'!$D$88=Cashflow!BH$5),'Data Entry'!$B$88,0))),0)</f>
        <v>0</v>
      </c>
      <c r="BI58" s="177">
        <f>IF(BI6&lt;'Data Entry'!$B$12,IF('Data Entry'!$C$88="Annual",'Data Entry'!$B$88,(IF(AND('Data Entry'!$C$88="One-off in Year X (Specify)",'Data Entry'!$D$88=Cashflow!BI$5),'Data Entry'!$B$88,0))),0)</f>
        <v>0</v>
      </c>
      <c r="BJ58" s="177">
        <f>IF(BJ6&lt;'Data Entry'!$B$12,IF('Data Entry'!$C$88="Annual",'Data Entry'!$B$88,(IF(AND('Data Entry'!$C$88="One-off in Year X (Specify)",'Data Entry'!$D$88=Cashflow!BJ$5),'Data Entry'!$B$88,0))),0)</f>
        <v>0</v>
      </c>
      <c r="BK58" s="445">
        <f>IF(BK6&lt;'Data Entry'!$B$12,IF('Data Entry'!$C$88="Annual",'Data Entry'!$B$88,(IF(AND('Data Entry'!$C$88="One-off in Year X (Specify)",'Data Entry'!$D$88=Cashflow!BK$5),'Data Entry'!$B$88,0))),0)</f>
        <v>0</v>
      </c>
      <c r="BL58" s="177">
        <f>IF(BL6&lt;'Data Entry'!$B$12,IF('Data Entry'!$C$88="Annual",'Data Entry'!$B$88,(IF(AND('Data Entry'!$C$88="One-off in Year X (Specify)",'Data Entry'!$D$88=Cashflow!BL$5),'Data Entry'!$B$88,0))),0)</f>
        <v>0</v>
      </c>
      <c r="BM58" s="177">
        <f>IF(BM6&lt;'Data Entry'!$B$12,IF('Data Entry'!$C$88="Annual",'Data Entry'!$B$88,(IF(AND('Data Entry'!$C$88="One-off in Year X (Specify)",'Data Entry'!$D$88=Cashflow!BM$5),'Data Entry'!$B$88,0))),0)</f>
        <v>0</v>
      </c>
      <c r="BN58" s="177">
        <f>IF(BN6&lt;'Data Entry'!$B$12,IF('Data Entry'!$C$88="Annual",'Data Entry'!$B$88,(IF(AND('Data Entry'!$C$88="One-off in Year X (Specify)",'Data Entry'!$D$88=Cashflow!BN$5),'Data Entry'!$B$88,0))),0)</f>
        <v>0</v>
      </c>
      <c r="BO58" s="177">
        <f>IF(BO6&lt;'Data Entry'!$B$12,IF('Data Entry'!$C$88="Annual",'Data Entry'!$B$88,(IF(AND('Data Entry'!$C$88="One-off in Year X (Specify)",'Data Entry'!$D$88=Cashflow!BO$5),'Data Entry'!$B$88,0))),0)</f>
        <v>0</v>
      </c>
      <c r="BP58" s="177">
        <f>IF(BP6&lt;'Data Entry'!$B$12,IF('Data Entry'!$C$88="Annual",'Data Entry'!$B$88,(IF(AND('Data Entry'!$C$88="One-off in Year X (Specify)",'Data Entry'!$D$88=Cashflow!BP$5),'Data Entry'!$B$88,0))),0)</f>
        <v>0</v>
      </c>
      <c r="BQ58" s="177">
        <f>IF(BQ6&lt;'Data Entry'!$B$12,IF('Data Entry'!$C$88="Annual",'Data Entry'!$B$88,(IF(AND('Data Entry'!$C$88="One-off in Year X (Specify)",'Data Entry'!$D$88=Cashflow!BQ$5),'Data Entry'!$B$88,0))),0)</f>
        <v>0</v>
      </c>
      <c r="BR58" s="177">
        <f>IF(BR6&lt;'Data Entry'!$B$12,IF('Data Entry'!$C$88="Annual",'Data Entry'!$B$88,(IF(AND('Data Entry'!$C$88="One-off in Year X (Specify)",'Data Entry'!$D$88=Cashflow!BR$5),'Data Entry'!$B$88,0))),0)</f>
        <v>0</v>
      </c>
      <c r="BS58" s="177">
        <f>IF(BS6&lt;'Data Entry'!$B$12,IF('Data Entry'!$C$88="Annual",'Data Entry'!$B$88,(IF(AND('Data Entry'!$C$88="One-off in Year X (Specify)",'Data Entry'!$D$88=Cashflow!BS$5),'Data Entry'!$B$88,0))),0)</f>
        <v>0</v>
      </c>
      <c r="BT58" s="177">
        <f>IF(BT6&lt;'Data Entry'!$B$12,IF('Data Entry'!$C$88="Annual",'Data Entry'!$B$88,(IF(AND('Data Entry'!$C$88="One-off in Year X (Specify)",'Data Entry'!$D$88=Cashflow!BT$5),'Data Entry'!$B$88,0))),0)</f>
        <v>0</v>
      </c>
      <c r="BU58" s="177">
        <f>IF(BU6&lt;'Data Entry'!$B$12,IF('Data Entry'!$C$88="Annual",'Data Entry'!$B$88,(IF(AND('Data Entry'!$C$88="One-off in Year X (Specify)",'Data Entry'!$D$88=Cashflow!BU$5),'Data Entry'!$B$88,0))),0)</f>
        <v>0</v>
      </c>
      <c r="BV58" s="177">
        <f>IF(BV6&lt;'Data Entry'!$B$12,IF('Data Entry'!$C$88="Annual",'Data Entry'!$B$88,(IF(AND('Data Entry'!$C$88="One-off in Year X (Specify)",'Data Entry'!$D$88=Cashflow!BV$5),'Data Entry'!$B$88,0))),0)</f>
        <v>0</v>
      </c>
      <c r="BW58" s="177">
        <f>IF(BW6&lt;'Data Entry'!$B$12,IF('Data Entry'!$C$88="Annual",'Data Entry'!$B$88,(IF(AND('Data Entry'!$C$88="One-off in Year X (Specify)",'Data Entry'!$D$88=Cashflow!BW$5),'Data Entry'!$B$88,0))),0)</f>
        <v>0</v>
      </c>
      <c r="BX58" s="177">
        <f>IF(BX6&lt;'Data Entry'!$B$12,IF('Data Entry'!$C$88="Annual",'Data Entry'!$B$88,(IF(AND('Data Entry'!$C$88="One-off in Year X (Specify)",'Data Entry'!$D$88=Cashflow!BX$5),'Data Entry'!$B$88,0))),0)</f>
        <v>0</v>
      </c>
      <c r="BY58" s="177">
        <f>IF(BY6&lt;'Data Entry'!$B$12,IF('Data Entry'!$C$88="Annual",'Data Entry'!$B$88,(IF(AND('Data Entry'!$C$88="One-off in Year X (Specify)",'Data Entry'!$D$88=Cashflow!BY$5),'Data Entry'!$B$88,0))),0)</f>
        <v>0</v>
      </c>
      <c r="BZ58" s="177">
        <f>IF(BZ6&lt;'Data Entry'!$B$12,IF('Data Entry'!$C$88="Annual",'Data Entry'!$B$88,(IF(AND('Data Entry'!$C$88="One-off in Year X (Specify)",'Data Entry'!$D$88=Cashflow!BZ$5),'Data Entry'!$B$88,0))),0)</f>
        <v>0</v>
      </c>
      <c r="CA58" s="445">
        <f>IF(CA6&lt;'Data Entry'!$B$12,IF('Data Entry'!$C$88="Annual",'Data Entry'!$B$88,(IF(AND('Data Entry'!$C$88="One-off in Year X (Specify)",'Data Entry'!$D$88=Cashflow!CA$5),'Data Entry'!$B$88,0))),0)</f>
        <v>0</v>
      </c>
      <c r="CB58" s="177">
        <f>IF(CB6&lt;'Data Entry'!$B$12,IF('Data Entry'!$C$88="Annual",'Data Entry'!$B$88,(IF(AND('Data Entry'!$C$88="One-off in Year X (Specify)",'Data Entry'!$D$88=Cashflow!CB$5),'Data Entry'!$B$88,0))),0)</f>
        <v>0</v>
      </c>
      <c r="CC58" s="177">
        <f>IF(CC6&lt;'Data Entry'!$B$12,IF('Data Entry'!$C$88="Annual",'Data Entry'!$B$88,(IF(AND('Data Entry'!$C$88="One-off in Year X (Specify)",'Data Entry'!$D$88=Cashflow!CC$5),'Data Entry'!$B$88,0))),0)</f>
        <v>0</v>
      </c>
      <c r="CD58" s="177">
        <f>IF(CD6&lt;'Data Entry'!$B$12,IF('Data Entry'!$C$88="Annual",'Data Entry'!$B$88,(IF(AND('Data Entry'!$C$88="One-off in Year X (Specify)",'Data Entry'!$D$88=Cashflow!CD$5),'Data Entry'!$B$88,0))),0)</f>
        <v>0</v>
      </c>
      <c r="CE58" s="177">
        <f>IF(CE6&lt;'Data Entry'!$B$12,IF('Data Entry'!$C$88="Annual",'Data Entry'!$B$88,(IF(AND('Data Entry'!$C$88="One-off in Year X (Specify)",'Data Entry'!$D$88=Cashflow!CE$5),'Data Entry'!$B$88,0))),0)</f>
        <v>0</v>
      </c>
      <c r="CF58" s="177">
        <f>IF(CF6&lt;'Data Entry'!$B$12,IF('Data Entry'!$C$88="Annual",'Data Entry'!$B$88,(IF(AND('Data Entry'!$C$88="One-off in Year X (Specify)",'Data Entry'!$D$88=Cashflow!CF$5),'Data Entry'!$B$88,0))),0)</f>
        <v>0</v>
      </c>
      <c r="CG58" s="177">
        <f>IF(CG6&lt;'Data Entry'!$B$12,IF('Data Entry'!$C$88="Annual",'Data Entry'!$B$88,(IF(AND('Data Entry'!$C$88="One-off in Year X (Specify)",'Data Entry'!$D$88=Cashflow!CG$5),'Data Entry'!$B$88,0))),0)</f>
        <v>0</v>
      </c>
      <c r="CH58" s="177">
        <f>IF(CH6&lt;'Data Entry'!$B$12,IF('Data Entry'!$C$88="Annual",'Data Entry'!$B$88,(IF(AND('Data Entry'!$C$88="One-off in Year X (Specify)",'Data Entry'!$D$88=Cashflow!CH$5),'Data Entry'!$B$88,0))),0)</f>
        <v>0</v>
      </c>
      <c r="CI58" s="177">
        <f>IF(CI6&lt;'Data Entry'!$B$12,IF('Data Entry'!$C$88="Annual",'Data Entry'!$B$88,(IF(AND('Data Entry'!$C$88="One-off in Year X (Specify)",'Data Entry'!$D$88=Cashflow!CI$5),'Data Entry'!$B$88,0))),0)</f>
        <v>0</v>
      </c>
      <c r="CJ58" s="177">
        <f>IF(CJ6&lt;'Data Entry'!$B$12,IF('Data Entry'!$C$88="Annual",'Data Entry'!$B$88,(IF(AND('Data Entry'!$C$88="One-off in Year X (Specify)",'Data Entry'!$D$88=Cashflow!CJ$5),'Data Entry'!$B$88,0))),0)</f>
        <v>0</v>
      </c>
      <c r="CK58" s="177">
        <f>IF(CK6&lt;'Data Entry'!$B$12,IF('Data Entry'!$C$88="Annual",'Data Entry'!$B$88,(IF(AND('Data Entry'!$C$88="One-off in Year X (Specify)",'Data Entry'!$D$88=Cashflow!CK$5),'Data Entry'!$B$88,0))),0)</f>
        <v>0</v>
      </c>
      <c r="CL58" s="177">
        <f>IF(CL6&lt;'Data Entry'!$B$12,IF('Data Entry'!$C$88="Annual",'Data Entry'!$B$88,(IF(AND('Data Entry'!$C$88="One-off in Year X (Specify)",'Data Entry'!$D$88=Cashflow!CL$5),'Data Entry'!$B$88,0))),0)</f>
        <v>0</v>
      </c>
      <c r="CM58" s="177">
        <f>IF(CM6&lt;'Data Entry'!$B$12,IF('Data Entry'!$C$88="Annual",'Data Entry'!$B$88,(IF(AND('Data Entry'!$C$88="One-off in Year X (Specify)",'Data Entry'!$D$88=Cashflow!CM$5),'Data Entry'!$B$88,0))),0)</f>
        <v>0</v>
      </c>
      <c r="CN58" s="177">
        <f>IF(CN6&lt;'Data Entry'!$B$12,IF('Data Entry'!$C$88="Annual",'Data Entry'!$B$88,(IF(AND('Data Entry'!$C$88="One-off in Year X (Specify)",'Data Entry'!$D$88=Cashflow!CN$5),'Data Entry'!$B$88,0))),0)</f>
        <v>0</v>
      </c>
      <c r="CO58" s="177">
        <f>IF(CO6&lt;'Data Entry'!$B$12,IF('Data Entry'!$C$88="Annual",'Data Entry'!$B$88,(IF(AND('Data Entry'!$C$88="One-off in Year X (Specify)",'Data Entry'!$D$88=Cashflow!CO$5),'Data Entry'!$B$88,0))),0)</f>
        <v>0</v>
      </c>
      <c r="CP58" s="177">
        <f>IF(CP6&lt;'Data Entry'!$B$12,IF('Data Entry'!$C$88="Annual",'Data Entry'!$B$88,(IF(AND('Data Entry'!$C$88="One-off in Year X (Specify)",'Data Entry'!$D$88=Cashflow!CP$5),'Data Entry'!$B$88,0))),0)</f>
        <v>0</v>
      </c>
      <c r="CQ58" s="177">
        <f>IF(CQ6&lt;'Data Entry'!$B$12,IF('Data Entry'!$C$88="Annual",'Data Entry'!$B$88,(IF(AND('Data Entry'!$C$88="One-off in Year X (Specify)",'Data Entry'!$D$88=Cashflow!CQ$5),'Data Entry'!$B$88,0))),0)</f>
        <v>0</v>
      </c>
      <c r="CR58" s="177">
        <f>IF(CR6&lt;'Data Entry'!$B$12,IF('Data Entry'!$C$88="Annual",'Data Entry'!$B$88,(IF(AND('Data Entry'!$C$88="One-off in Year X (Specify)",'Data Entry'!$D$88=Cashflow!CR$5),'Data Entry'!$B$88,0))),0)</f>
        <v>0</v>
      </c>
      <c r="CS58" s="177">
        <f>IF(CS6&lt;'Data Entry'!$B$12,IF('Data Entry'!$C$88="Annual",'Data Entry'!$B$88,(IF(AND('Data Entry'!$C$88="One-off in Year X (Specify)",'Data Entry'!$D$88=Cashflow!CS$5),'Data Entry'!$B$88,0))),0)</f>
        <v>0</v>
      </c>
      <c r="CT58" s="177">
        <f>IF(CT6&lt;'Data Entry'!$B$12,IF('Data Entry'!$C$88="Annual",'Data Entry'!$B$88,(IF(AND('Data Entry'!$C$88="One-off in Year X (Specify)",'Data Entry'!$D$88=Cashflow!CT$5),'Data Entry'!$B$88,0))),0)</f>
        <v>0</v>
      </c>
      <c r="CU58" s="177">
        <f>IF(CU6&lt;'Data Entry'!$B$12,IF('Data Entry'!$C$88="Annual",'Data Entry'!$B$88,(IF(AND('Data Entry'!$C$88="One-off in Year X (Specify)",'Data Entry'!$D$88=Cashflow!CU$5),'Data Entry'!$B$88,0))),0)</f>
        <v>0</v>
      </c>
      <c r="CV58" s="177">
        <f>IF(CV6&lt;'Data Entry'!$B$12,IF('Data Entry'!$C$88="Annual",'Data Entry'!$B$88,(IF(AND('Data Entry'!$C$88="One-off in Year X (Specify)",'Data Entry'!$D$88=Cashflow!CV$5),'Data Entry'!$B$88,0))),0)</f>
        <v>0</v>
      </c>
      <c r="CW58" s="177">
        <f>IF(CW6&lt;'Data Entry'!$B$12,IF('Data Entry'!$C$88="Annual",'Data Entry'!$B$88,(IF(AND('Data Entry'!$C$88="One-off in Year X (Specify)",'Data Entry'!$D$88=Cashflow!CW$5),'Data Entry'!$B$88,0))),0)</f>
        <v>0</v>
      </c>
      <c r="CX58" s="177">
        <f>IF(CX6&lt;'Data Entry'!$B$12,IF('Data Entry'!$C$88="Annual",'Data Entry'!$B$88,(IF(AND('Data Entry'!$C$88="One-off in Year X (Specify)",'Data Entry'!$D$88=Cashflow!CX$5),'Data Entry'!$B$88,0))),0)</f>
        <v>0</v>
      </c>
      <c r="CY58" s="177">
        <f>IF(CY6&lt;'Data Entry'!$B$12,IF('Data Entry'!$C$88="Annual",'Data Entry'!$B$88,(IF(AND('Data Entry'!$C$88="One-off in Year X (Specify)",'Data Entry'!$D$88=Cashflow!CY$5),'Data Entry'!$B$88,0))),0)</f>
        <v>0</v>
      </c>
    </row>
    <row r="59" spans="1:103" ht="15" customHeight="1" x14ac:dyDescent="0.2">
      <c r="A59" s="47" t="s">
        <v>78</v>
      </c>
      <c r="B59" s="465" t="str">
        <f>'Data Entry'!A92</f>
        <v>Name of Income 1</v>
      </c>
      <c r="C59" s="269">
        <f t="shared" si="16"/>
        <v>0</v>
      </c>
      <c r="D59" s="177">
        <f>IF(D$6&lt;'Data Entry'!$B$12,IF('Data Entry'!$C92="Annual",'Data Entry'!$B92,(IF(AND('Data Entry'!$C92="One-off in Year X (Specify)",'Data Entry'!$D92=Cashflow!D$5),'Data Entry'!$B92,0))),0)</f>
        <v>0</v>
      </c>
      <c r="E59" s="177">
        <f>IF(E$6&lt;'Data Entry'!$B$12,IF('Data Entry'!$C92="Annual",'Data Entry'!$B92,(IF(AND('Data Entry'!$C92="One-off in Year X (Specify)",'Data Entry'!$D92=Cashflow!E$5),'Data Entry'!$B92,0))),0)</f>
        <v>0</v>
      </c>
      <c r="F59" s="177">
        <f>IF(F$6&lt;'Data Entry'!$B$12,IF('Data Entry'!$C92="Annual",'Data Entry'!$B92,(IF(AND('Data Entry'!$C92="One-off in Year X (Specify)",'Data Entry'!$D92=Cashflow!F$5),'Data Entry'!$B92,0))),0)</f>
        <v>0</v>
      </c>
      <c r="G59" s="177">
        <f>IF(G$6&lt;'Data Entry'!$B$12,IF('Data Entry'!$C92="Annual",'Data Entry'!$B92,(IF(AND('Data Entry'!$C92="One-off in Year X (Specify)",'Data Entry'!$D92=Cashflow!G$5),'Data Entry'!$B92,0))),0)</f>
        <v>0</v>
      </c>
      <c r="H59" s="177">
        <f>IF(H$6&lt;'Data Entry'!$B$12,IF('Data Entry'!$C92="Annual",'Data Entry'!$B92,(IF(AND('Data Entry'!$C92="One-off in Year X (Specify)",'Data Entry'!$D92=Cashflow!H$5),'Data Entry'!$B92,0))),0)</f>
        <v>0</v>
      </c>
      <c r="I59" s="177">
        <f>IF(I$6&lt;'Data Entry'!$B$12,IF('Data Entry'!$C92="Annual",'Data Entry'!$B92,(IF(AND('Data Entry'!$C92="One-off in Year X (Specify)",'Data Entry'!$D92=Cashflow!I$5),'Data Entry'!$B92,0))),0)</f>
        <v>0</v>
      </c>
      <c r="J59" s="177">
        <f>IF(J$6&lt;'Data Entry'!$B$12,IF('Data Entry'!$C92="Annual",'Data Entry'!$B92,(IF(AND('Data Entry'!$C92="One-off in Year X (Specify)",'Data Entry'!$D92=Cashflow!J$5),'Data Entry'!$B92,0))),0)</f>
        <v>0</v>
      </c>
      <c r="K59" s="177">
        <f>IF(K$6&lt;'Data Entry'!$B$12,IF('Data Entry'!$C92="Annual",'Data Entry'!$B92,(IF(AND('Data Entry'!$C92="One-off in Year X (Specify)",'Data Entry'!$D92=Cashflow!K$5),'Data Entry'!$B92,0))),0)</f>
        <v>0</v>
      </c>
      <c r="L59" s="177">
        <f>IF(L$6&lt;'Data Entry'!$B$12,IF('Data Entry'!$C92="Annual",'Data Entry'!$B92,(IF(AND('Data Entry'!$C92="One-off in Year X (Specify)",'Data Entry'!$D92=Cashflow!L$5),'Data Entry'!$B92,0))),0)</f>
        <v>0</v>
      </c>
      <c r="M59" s="177">
        <f>IF(M$6&lt;'Data Entry'!$B$12,IF('Data Entry'!$C92="Annual",'Data Entry'!$B92,(IF(AND('Data Entry'!$C92="One-off in Year X (Specify)",'Data Entry'!$D92=Cashflow!M$5),'Data Entry'!$B92,0))),0)</f>
        <v>0</v>
      </c>
      <c r="N59" s="177">
        <f>IF(N$6&lt;'Data Entry'!$B$12,IF('Data Entry'!$C92="Annual",'Data Entry'!$B92,(IF(AND('Data Entry'!$C92="One-off in Year X (Specify)",'Data Entry'!$D92=Cashflow!N$5),'Data Entry'!$B92,0))),0)</f>
        <v>0</v>
      </c>
      <c r="O59" s="177">
        <f>IF(O$6&lt;'Data Entry'!$B$12,IF('Data Entry'!$C92="Annual",'Data Entry'!$B92,(IF(AND('Data Entry'!$C92="One-off in Year X (Specify)",'Data Entry'!$D92=Cashflow!O$5),'Data Entry'!$B92,0))),0)</f>
        <v>0</v>
      </c>
      <c r="P59" s="177">
        <f>IF(P$6&lt;'Data Entry'!$B$12,IF('Data Entry'!$C92="Annual",'Data Entry'!$B92,(IF(AND('Data Entry'!$C92="One-off in Year X (Specify)",'Data Entry'!$D92=Cashflow!P$5),'Data Entry'!$B92,0))),0)</f>
        <v>0</v>
      </c>
      <c r="Q59" s="177">
        <f>IF(Q$6&lt;'Data Entry'!$B$12,IF('Data Entry'!$C92="Annual",'Data Entry'!$B92,(IF(AND('Data Entry'!$C92="One-off in Year X (Specify)",'Data Entry'!$D92=Cashflow!Q$5),'Data Entry'!$B92,0))),0)</f>
        <v>0</v>
      </c>
      <c r="R59" s="177">
        <f>IF(R$6&lt;'Data Entry'!$B$12,IF('Data Entry'!$C92="Annual",'Data Entry'!$B92,(IF(AND('Data Entry'!$C92="One-off in Year X (Specify)",'Data Entry'!$D92=Cashflow!R$5),'Data Entry'!$B92,0))),0)</f>
        <v>0</v>
      </c>
      <c r="S59" s="177">
        <f>IF(S$6&lt;'Data Entry'!$B$12,IF('Data Entry'!$C92="Annual",'Data Entry'!$B92,(IF(AND('Data Entry'!$C92="One-off in Year X (Specify)",'Data Entry'!$D92=Cashflow!S$5),'Data Entry'!$B92,0))),0)</f>
        <v>0</v>
      </c>
      <c r="T59" s="177">
        <f>IF(T$6&lt;'Data Entry'!$B$12,IF('Data Entry'!$C92="Annual",'Data Entry'!$B92,(IF(AND('Data Entry'!$C92="One-off in Year X (Specify)",'Data Entry'!$D92=Cashflow!T$5),'Data Entry'!$B92,0))),0)</f>
        <v>0</v>
      </c>
      <c r="U59" s="177">
        <f>IF(U$6&lt;'Data Entry'!$B$12,IF('Data Entry'!$C92="Annual",'Data Entry'!$B92,(IF(AND('Data Entry'!$C92="One-off in Year X (Specify)",'Data Entry'!$D92=Cashflow!U$5),'Data Entry'!$B92,0))),0)</f>
        <v>0</v>
      </c>
      <c r="V59" s="177">
        <f>IF(V$6&lt;'Data Entry'!$B$12,IF('Data Entry'!$C92="Annual",'Data Entry'!$B92,(IF(AND('Data Entry'!$C92="One-off in Year X (Specify)",'Data Entry'!$D92=Cashflow!V$5),'Data Entry'!$B92,0))),0)</f>
        <v>0</v>
      </c>
      <c r="W59" s="177">
        <f>IF(W$6&lt;'Data Entry'!$B$12,IF('Data Entry'!$C92="Annual",'Data Entry'!$B92,(IF(AND('Data Entry'!$C92="One-off in Year X (Specify)",'Data Entry'!$D92=Cashflow!W$5),'Data Entry'!$B92,0))),0)</f>
        <v>0</v>
      </c>
      <c r="X59" s="177">
        <f>IF(X$6&lt;'Data Entry'!$B$12,IF('Data Entry'!$C92="Annual",'Data Entry'!$B92,(IF(AND('Data Entry'!$C92="One-off in Year X (Specify)",'Data Entry'!$D92=Cashflow!X$5),'Data Entry'!$B92,0))),0)</f>
        <v>0</v>
      </c>
      <c r="Y59" s="177">
        <f>IF(Y$6&lt;'Data Entry'!$B$12,IF('Data Entry'!$C92="Annual",'Data Entry'!$B92,(IF(AND('Data Entry'!$C92="One-off in Year X (Specify)",'Data Entry'!$D92=Cashflow!Y$5),'Data Entry'!$B92,0))),0)</f>
        <v>0</v>
      </c>
      <c r="Z59" s="177">
        <f>IF(Z$6&lt;'Data Entry'!$B$12,IF('Data Entry'!$C92="Annual",'Data Entry'!$B92,(IF(AND('Data Entry'!$C92="One-off in Year X (Specify)",'Data Entry'!$D92=Cashflow!Z$5),'Data Entry'!$B92,0))),0)</f>
        <v>0</v>
      </c>
      <c r="AA59" s="177">
        <f>IF(AA$6&lt;'Data Entry'!$B$12,IF('Data Entry'!$C92="Annual",'Data Entry'!$B92,(IF(AND('Data Entry'!$C92="One-off in Year X (Specify)",'Data Entry'!$D92=Cashflow!AA$5),'Data Entry'!$B92,0))),0)</f>
        <v>0</v>
      </c>
      <c r="AB59" s="177">
        <f>IF(AB$6&lt;'Data Entry'!$B$12,IF('Data Entry'!$C92="Annual",'Data Entry'!$B92,(IF(AND('Data Entry'!$C92="One-off in Year X (Specify)",'Data Entry'!$D92=Cashflow!AB$5),'Data Entry'!$B92,0))),0)</f>
        <v>0</v>
      </c>
      <c r="AC59" s="177">
        <f>IF(AC$6&lt;'Data Entry'!$B$12,IF('Data Entry'!$C92="Annual",'Data Entry'!$B92,(IF(AND('Data Entry'!$C92="One-off in Year X (Specify)",'Data Entry'!$D92=Cashflow!AC$5),'Data Entry'!$B92,0))),0)</f>
        <v>0</v>
      </c>
      <c r="AD59" s="177">
        <f>IF(AD$6&lt;'Data Entry'!$B$12,IF('Data Entry'!$C92="Annual",'Data Entry'!$B92,(IF(AND('Data Entry'!$C92="One-off in Year X (Specify)",'Data Entry'!$D92=Cashflow!AD$5),'Data Entry'!$B92,0))),0)</f>
        <v>0</v>
      </c>
      <c r="AE59" s="177">
        <f>IF(AE$6&lt;'Data Entry'!$B$12,IF('Data Entry'!$C92="Annual",'Data Entry'!$B92,(IF(AND('Data Entry'!$C92="One-off in Year X (Specify)",'Data Entry'!$D92=Cashflow!AE$5),'Data Entry'!$B92,0))),0)</f>
        <v>0</v>
      </c>
      <c r="AF59" s="177">
        <f>IF(AF$6&lt;'Data Entry'!$B$12,IF('Data Entry'!$C92="Annual",'Data Entry'!$B92,(IF(AND('Data Entry'!$C92="One-off in Year X (Specify)",'Data Entry'!$D92=Cashflow!AF$5),'Data Entry'!$B92,0))),0)</f>
        <v>0</v>
      </c>
      <c r="AG59" s="177">
        <f>IF(AG$6&lt;'Data Entry'!$B$12,IF('Data Entry'!$C92="Annual",'Data Entry'!$B92,(IF(AND('Data Entry'!$C92="One-off in Year X (Specify)",'Data Entry'!$D92=Cashflow!AG$5),'Data Entry'!$B92,0))),0)</f>
        <v>0</v>
      </c>
      <c r="AH59" s="177">
        <f>IF(AH$6&lt;'Data Entry'!$B$12,IF('Data Entry'!$C92="Annual",'Data Entry'!$B92,(IF(AND('Data Entry'!$C92="One-off in Year X (Specify)",'Data Entry'!$D92=Cashflow!AH$5),'Data Entry'!$B92,0))),0)</f>
        <v>0</v>
      </c>
      <c r="AI59" s="177">
        <f>IF(AI$6&lt;'Data Entry'!$B$12,IF('Data Entry'!$C92="Annual",'Data Entry'!$B92,(IF(AND('Data Entry'!$C92="One-off in Year X (Specify)",'Data Entry'!$D92=Cashflow!AI$5),'Data Entry'!$B92,0))),0)</f>
        <v>0</v>
      </c>
      <c r="AJ59" s="177">
        <f>IF(AJ$6&lt;'Data Entry'!$B$12,IF('Data Entry'!$C92="Annual",'Data Entry'!$B92,(IF(AND('Data Entry'!$C92="One-off in Year X (Specify)",'Data Entry'!$D92=Cashflow!AJ$5),'Data Entry'!$B92,0))),0)</f>
        <v>0</v>
      </c>
      <c r="AK59" s="177">
        <f>IF(AK$6&lt;'Data Entry'!$B$12,IF('Data Entry'!$C92="Annual",'Data Entry'!$B92,(IF(AND('Data Entry'!$C92="One-off in Year X (Specify)",'Data Entry'!$D92=Cashflow!AK$5),'Data Entry'!$B92,0))),0)</f>
        <v>0</v>
      </c>
      <c r="AL59" s="177">
        <f>IF(AL$6&lt;'Data Entry'!$B$12,IF('Data Entry'!$C92="Annual",'Data Entry'!$B92,(IF(AND('Data Entry'!$C92="One-off in Year X (Specify)",'Data Entry'!$D92=Cashflow!AL$5),'Data Entry'!$B92,0))),0)</f>
        <v>0</v>
      </c>
      <c r="AM59" s="177">
        <f>IF(AM$6&lt;'Data Entry'!$B$12,IF('Data Entry'!$C92="Annual",'Data Entry'!$B92,(IF(AND('Data Entry'!$C92="One-off in Year X (Specify)",'Data Entry'!$D92=Cashflow!AM$5),'Data Entry'!$B92,0))),0)</f>
        <v>0</v>
      </c>
      <c r="AN59" s="177">
        <f>IF(AN$6&lt;'Data Entry'!$B$12,IF('Data Entry'!$C92="Annual",'Data Entry'!$B92,(IF(AND('Data Entry'!$C92="One-off in Year X (Specify)",'Data Entry'!$D92=Cashflow!AN$5),'Data Entry'!$B92,0))),0)</f>
        <v>0</v>
      </c>
      <c r="AO59" s="445">
        <f>IF(AO$6&lt;'Data Entry'!$B$12,IF('Data Entry'!$C92="Annual",'Data Entry'!$B92,(IF(AND('Data Entry'!$C92="One-off in Year X (Specify)",'Data Entry'!$D92=Cashflow!AO$5),'Data Entry'!$B92,0))),0)</f>
        <v>0</v>
      </c>
      <c r="AP59" s="177">
        <f>IF(AP$6&lt;'Data Entry'!$B$12,IF('Data Entry'!$C92="Annual",'Data Entry'!$B92,(IF(AND('Data Entry'!$C92="One-off in Year X (Specify)",'Data Entry'!$D92=Cashflow!AP$5),'Data Entry'!$B92,0))),0)</f>
        <v>0</v>
      </c>
      <c r="AQ59" s="177">
        <f>IF(AQ$6&lt;'Data Entry'!$B$12,IF('Data Entry'!$C92="Annual",'Data Entry'!$B92,(IF(AND('Data Entry'!$C92="One-off in Year X (Specify)",'Data Entry'!$D92=Cashflow!AQ$5),'Data Entry'!$B92,0))),0)</f>
        <v>0</v>
      </c>
      <c r="AR59" s="177">
        <f>IF(AR$6&lt;'Data Entry'!$B$12,IF('Data Entry'!$C92="Annual",'Data Entry'!$B92,(IF(AND('Data Entry'!$C92="One-off in Year X (Specify)",'Data Entry'!$D92=Cashflow!AR$5),'Data Entry'!$B92,0))),0)</f>
        <v>0</v>
      </c>
      <c r="AS59" s="177">
        <f>IF(AS$6&lt;'Data Entry'!$B$12,IF('Data Entry'!$C92="Annual",'Data Entry'!$B92,(IF(AND('Data Entry'!$C92="One-off in Year X (Specify)",'Data Entry'!$D92=Cashflow!AS$5),'Data Entry'!$B92,0))),0)</f>
        <v>0</v>
      </c>
      <c r="AT59" s="177">
        <f>IF(AT$6&lt;'Data Entry'!$B$12,IF('Data Entry'!$C92="Annual",'Data Entry'!$B92,(IF(AND('Data Entry'!$C92="One-off in Year X (Specify)",'Data Entry'!$D92=Cashflow!AT$5),'Data Entry'!$B92,0))),0)</f>
        <v>0</v>
      </c>
      <c r="AU59" s="177">
        <f>IF(AU$6&lt;'Data Entry'!$B$12,IF('Data Entry'!$C92="Annual",'Data Entry'!$B92,(IF(AND('Data Entry'!$C92="One-off in Year X (Specify)",'Data Entry'!$D92=Cashflow!AU$5),'Data Entry'!$B92,0))),0)</f>
        <v>0</v>
      </c>
      <c r="AV59" s="177">
        <f>IF(AV$6&lt;'Data Entry'!$B$12,IF('Data Entry'!$C92="Annual",'Data Entry'!$B92,(IF(AND('Data Entry'!$C92="One-off in Year X (Specify)",'Data Entry'!$D92=Cashflow!AV$5),'Data Entry'!$B92,0))),0)</f>
        <v>0</v>
      </c>
      <c r="AW59" s="177">
        <f>IF(AW$6&lt;'Data Entry'!$B$12,IF('Data Entry'!$C92="Annual",'Data Entry'!$B92,(IF(AND('Data Entry'!$C92="One-off in Year X (Specify)",'Data Entry'!$D92=Cashflow!AW$5),'Data Entry'!$B92,0))),0)</f>
        <v>0</v>
      </c>
      <c r="AX59" s="177">
        <f>IF(AX$6&lt;'Data Entry'!$B$12,IF('Data Entry'!$C92="Annual",'Data Entry'!$B92,(IF(AND('Data Entry'!$C92="One-off in Year X (Specify)",'Data Entry'!$D92=Cashflow!AX$5),'Data Entry'!$B92,0))),0)</f>
        <v>0</v>
      </c>
      <c r="AY59" s="177">
        <f>IF(AY$6&lt;'Data Entry'!$B$12,IF('Data Entry'!$C92="Annual",'Data Entry'!$B92,(IF(AND('Data Entry'!$C92="One-off in Year X (Specify)",'Data Entry'!$D92=Cashflow!AY$5),'Data Entry'!$B92,0))),0)</f>
        <v>0</v>
      </c>
      <c r="AZ59" s="177">
        <f>IF(AZ$6&lt;'Data Entry'!$B$12,IF('Data Entry'!$C92="Annual",'Data Entry'!$B92,(IF(AND('Data Entry'!$C92="One-off in Year X (Specify)",'Data Entry'!$D92=Cashflow!AZ$5),'Data Entry'!$B92,0))),0)</f>
        <v>0</v>
      </c>
      <c r="BA59" s="177">
        <f>IF(BA$6&lt;'Data Entry'!$B$12,IF('Data Entry'!$C92="Annual",'Data Entry'!$B92,(IF(AND('Data Entry'!$C92="One-off in Year X (Specify)",'Data Entry'!$D92=Cashflow!BA$5),'Data Entry'!$B92,0))),0)</f>
        <v>0</v>
      </c>
      <c r="BB59" s="177">
        <f>IF(BB$6&lt;'Data Entry'!$B$12,IF('Data Entry'!$C92="Annual",'Data Entry'!$B92,(IF(AND('Data Entry'!$C92="One-off in Year X (Specify)",'Data Entry'!$D92=Cashflow!BB$5),'Data Entry'!$B92,0))),0)</f>
        <v>0</v>
      </c>
      <c r="BC59" s="177">
        <f>IF(BC$6&lt;'Data Entry'!$B$12,IF('Data Entry'!$C92="Annual",'Data Entry'!$B92,(IF(AND('Data Entry'!$C92="One-off in Year X (Specify)",'Data Entry'!$D92=Cashflow!BC$5),'Data Entry'!$B92,0))),0)</f>
        <v>0</v>
      </c>
      <c r="BD59" s="177">
        <f>IF(BD$6&lt;'Data Entry'!$B$12,IF('Data Entry'!$C92="Annual",'Data Entry'!$B92,(IF(AND('Data Entry'!$C92="One-off in Year X (Specify)",'Data Entry'!$D92=Cashflow!BD$5),'Data Entry'!$B92,0))),0)</f>
        <v>0</v>
      </c>
      <c r="BE59" s="177">
        <f>IF(BE$6&lt;'Data Entry'!$B$12,IF('Data Entry'!$C92="Annual",'Data Entry'!$B92,(IF(AND('Data Entry'!$C92="One-off in Year X (Specify)",'Data Entry'!$D92=Cashflow!BE$5),'Data Entry'!$B92,0))),0)</f>
        <v>0</v>
      </c>
      <c r="BF59" s="177">
        <f>IF(BF$6&lt;'Data Entry'!$B$12,IF('Data Entry'!$C92="Annual",'Data Entry'!$B92,(IF(AND('Data Entry'!$C92="One-off in Year X (Specify)",'Data Entry'!$D92=Cashflow!BF$5),'Data Entry'!$B92,0))),0)</f>
        <v>0</v>
      </c>
      <c r="BG59" s="177">
        <f>IF(BG$6&lt;'Data Entry'!$B$12,IF('Data Entry'!$C92="Annual",'Data Entry'!$B92,(IF(AND('Data Entry'!$C92="One-off in Year X (Specify)",'Data Entry'!$D92=Cashflow!BG$5),'Data Entry'!$B92,0))),0)</f>
        <v>0</v>
      </c>
      <c r="BH59" s="177">
        <f>IF(BH$6&lt;'Data Entry'!$B$12,IF('Data Entry'!$C92="Annual",'Data Entry'!$B92,(IF(AND('Data Entry'!$C92="One-off in Year X (Specify)",'Data Entry'!$D92=Cashflow!BH$5),'Data Entry'!$B92,0))),0)</f>
        <v>0</v>
      </c>
      <c r="BI59" s="177">
        <f>IF(BI$6&lt;'Data Entry'!$B$12,IF('Data Entry'!$C92="Annual",'Data Entry'!$B92,(IF(AND('Data Entry'!$C92="One-off in Year X (Specify)",'Data Entry'!$D92=Cashflow!BI$5),'Data Entry'!$B92,0))),0)</f>
        <v>0</v>
      </c>
      <c r="BJ59" s="177">
        <f>IF(BJ$6&lt;'Data Entry'!$B$12,IF('Data Entry'!$C92="Annual",'Data Entry'!$B92,(IF(AND('Data Entry'!$C92="One-off in Year X (Specify)",'Data Entry'!$D92=Cashflow!BJ$5),'Data Entry'!$B92,0))),0)</f>
        <v>0</v>
      </c>
      <c r="BK59" s="445">
        <f>IF(BK$6&lt;'Data Entry'!$B$12,IF('Data Entry'!$C92="Annual",'Data Entry'!$B92,(IF(AND('Data Entry'!$C92="One-off in Year X (Specify)",'Data Entry'!$D92=Cashflow!BK$5),'Data Entry'!$B92,0))),0)</f>
        <v>0</v>
      </c>
      <c r="BL59" s="177">
        <f>IF(BL$6&lt;'Data Entry'!$B$12,IF('Data Entry'!$C92="Annual",'Data Entry'!$B92,(IF(AND('Data Entry'!$C92="One-off in Year X (Specify)",'Data Entry'!$D92=Cashflow!BL$5),'Data Entry'!$B92,0))),0)</f>
        <v>0</v>
      </c>
      <c r="BM59" s="177">
        <f>IF(BM$6&lt;'Data Entry'!$B$12,IF('Data Entry'!$C92="Annual",'Data Entry'!$B92,(IF(AND('Data Entry'!$C92="One-off in Year X (Specify)",'Data Entry'!$D92=Cashflow!BM$5),'Data Entry'!$B92,0))),0)</f>
        <v>0</v>
      </c>
      <c r="BN59" s="177">
        <f>IF(BN$6&lt;'Data Entry'!$B$12,IF('Data Entry'!$C92="Annual",'Data Entry'!$B92,(IF(AND('Data Entry'!$C92="One-off in Year X (Specify)",'Data Entry'!$D92=Cashflow!BN$5),'Data Entry'!$B92,0))),0)</f>
        <v>0</v>
      </c>
      <c r="BO59" s="177">
        <f>IF(BO$6&lt;'Data Entry'!$B$12,IF('Data Entry'!$C92="Annual",'Data Entry'!$B92,(IF(AND('Data Entry'!$C92="One-off in Year X (Specify)",'Data Entry'!$D92=Cashflow!BO$5),'Data Entry'!$B92,0))),0)</f>
        <v>0</v>
      </c>
      <c r="BP59" s="177">
        <f>IF(BP$6&lt;'Data Entry'!$B$12,IF('Data Entry'!$C92="Annual",'Data Entry'!$B92,(IF(AND('Data Entry'!$C92="One-off in Year X (Specify)",'Data Entry'!$D92=Cashflow!BP$5),'Data Entry'!$B92,0))),0)</f>
        <v>0</v>
      </c>
      <c r="BQ59" s="177">
        <f>IF(BQ$6&lt;'Data Entry'!$B$12,IF('Data Entry'!$C92="Annual",'Data Entry'!$B92,(IF(AND('Data Entry'!$C92="One-off in Year X (Specify)",'Data Entry'!$D92=Cashflow!BQ$5),'Data Entry'!$B92,0))),0)</f>
        <v>0</v>
      </c>
      <c r="BR59" s="177">
        <f>IF(BR$6&lt;'Data Entry'!$B$12,IF('Data Entry'!$C92="Annual",'Data Entry'!$B92,(IF(AND('Data Entry'!$C92="One-off in Year X (Specify)",'Data Entry'!$D92=Cashflow!BR$5),'Data Entry'!$B92,0))),0)</f>
        <v>0</v>
      </c>
      <c r="BS59" s="177">
        <f>IF(BS$6&lt;'Data Entry'!$B$12,IF('Data Entry'!$C92="Annual",'Data Entry'!$B92,(IF(AND('Data Entry'!$C92="One-off in Year X (Specify)",'Data Entry'!$D92=Cashflow!BS$5),'Data Entry'!$B92,0))),0)</f>
        <v>0</v>
      </c>
      <c r="BT59" s="177">
        <f>IF(BT$6&lt;'Data Entry'!$B$12,IF('Data Entry'!$C92="Annual",'Data Entry'!$B92,(IF(AND('Data Entry'!$C92="One-off in Year X (Specify)",'Data Entry'!$D92=Cashflow!BT$5),'Data Entry'!$B92,0))),0)</f>
        <v>0</v>
      </c>
      <c r="BU59" s="177">
        <f>IF(BU$6&lt;'Data Entry'!$B$12,IF('Data Entry'!$C92="Annual",'Data Entry'!$B92,(IF(AND('Data Entry'!$C92="One-off in Year X (Specify)",'Data Entry'!$D92=Cashflow!BU$5),'Data Entry'!$B92,0))),0)</f>
        <v>0</v>
      </c>
      <c r="BV59" s="177">
        <f>IF(BV$6&lt;'Data Entry'!$B$12,IF('Data Entry'!$C92="Annual",'Data Entry'!$B92,(IF(AND('Data Entry'!$C92="One-off in Year X (Specify)",'Data Entry'!$D92=Cashflow!BV$5),'Data Entry'!$B92,0))),0)</f>
        <v>0</v>
      </c>
      <c r="BW59" s="177">
        <f>IF(BW$6&lt;'Data Entry'!$B$12,IF('Data Entry'!$C92="Annual",'Data Entry'!$B92,(IF(AND('Data Entry'!$C92="One-off in Year X (Specify)",'Data Entry'!$D92=Cashflow!BW$5),'Data Entry'!$B92,0))),0)</f>
        <v>0</v>
      </c>
      <c r="BX59" s="177">
        <f>IF(BX$6&lt;'Data Entry'!$B$12,IF('Data Entry'!$C92="Annual",'Data Entry'!$B92,(IF(AND('Data Entry'!$C92="One-off in Year X (Specify)",'Data Entry'!$D92=Cashflow!BX$5),'Data Entry'!$B92,0))),0)</f>
        <v>0</v>
      </c>
      <c r="BY59" s="177">
        <f>IF(BY$6&lt;'Data Entry'!$B$12,IF('Data Entry'!$C92="Annual",'Data Entry'!$B92,(IF(AND('Data Entry'!$C92="One-off in Year X (Specify)",'Data Entry'!$D92=Cashflow!BY$5),'Data Entry'!$B92,0))),0)</f>
        <v>0</v>
      </c>
      <c r="BZ59" s="177">
        <f>IF(BZ$6&lt;'Data Entry'!$B$12,IF('Data Entry'!$C92="Annual",'Data Entry'!$B92,(IF(AND('Data Entry'!$C92="One-off in Year X (Specify)",'Data Entry'!$D92=Cashflow!BZ$5),'Data Entry'!$B92,0))),0)</f>
        <v>0</v>
      </c>
      <c r="CA59" s="445">
        <f>IF(CA$6&lt;'Data Entry'!$B$12,IF('Data Entry'!$C92="Annual",'Data Entry'!$B92,(IF(AND('Data Entry'!$C92="One-off in Year X (Specify)",'Data Entry'!$D92=Cashflow!CA$5),'Data Entry'!$B92,0))),0)</f>
        <v>0</v>
      </c>
      <c r="CB59" s="177">
        <f>IF(CB$6&lt;'Data Entry'!$B$12,IF('Data Entry'!$C92="Annual",'Data Entry'!$B92,(IF(AND('Data Entry'!$C92="One-off in Year X (Specify)",'Data Entry'!$D92=Cashflow!CB$5),'Data Entry'!$B92,0))),0)</f>
        <v>0</v>
      </c>
      <c r="CC59" s="177">
        <f>IF(CC$6&lt;'Data Entry'!$B$12,IF('Data Entry'!$C92="Annual",'Data Entry'!$B92,(IF(AND('Data Entry'!$C92="One-off in Year X (Specify)",'Data Entry'!$D92=Cashflow!CC$5),'Data Entry'!$B92,0))),0)</f>
        <v>0</v>
      </c>
      <c r="CD59" s="177">
        <f>IF(CD$6&lt;'Data Entry'!$B$12,IF('Data Entry'!$C92="Annual",'Data Entry'!$B92,(IF(AND('Data Entry'!$C92="One-off in Year X (Specify)",'Data Entry'!$D92=Cashflow!CD$5),'Data Entry'!$B92,0))),0)</f>
        <v>0</v>
      </c>
      <c r="CE59" s="177">
        <f>IF(CE$6&lt;'Data Entry'!$B$12,IF('Data Entry'!$C92="Annual",'Data Entry'!$B92,(IF(AND('Data Entry'!$C92="One-off in Year X (Specify)",'Data Entry'!$D92=Cashflow!CE$5),'Data Entry'!$B92,0))),0)</f>
        <v>0</v>
      </c>
      <c r="CF59" s="177">
        <f>IF(CF$6&lt;'Data Entry'!$B$12,IF('Data Entry'!$C92="Annual",'Data Entry'!$B92,(IF(AND('Data Entry'!$C92="One-off in Year X (Specify)",'Data Entry'!$D92=Cashflow!CF$5),'Data Entry'!$B92,0))),0)</f>
        <v>0</v>
      </c>
      <c r="CG59" s="177">
        <f>IF(CG$6&lt;'Data Entry'!$B$12,IF('Data Entry'!$C92="Annual",'Data Entry'!$B92,(IF(AND('Data Entry'!$C92="One-off in Year X (Specify)",'Data Entry'!$D92=Cashflow!CG$5),'Data Entry'!$B92,0))),0)</f>
        <v>0</v>
      </c>
      <c r="CH59" s="177">
        <f>IF(CH$6&lt;'Data Entry'!$B$12,IF('Data Entry'!$C92="Annual",'Data Entry'!$B92,(IF(AND('Data Entry'!$C92="One-off in Year X (Specify)",'Data Entry'!$D92=Cashflow!CH$5),'Data Entry'!$B92,0))),0)</f>
        <v>0</v>
      </c>
      <c r="CI59" s="177">
        <f>IF(CI$6&lt;'Data Entry'!$B$12,IF('Data Entry'!$C92="Annual",'Data Entry'!$B92,(IF(AND('Data Entry'!$C92="One-off in Year X (Specify)",'Data Entry'!$D92=Cashflow!CI$5),'Data Entry'!$B92,0))),0)</f>
        <v>0</v>
      </c>
      <c r="CJ59" s="177">
        <f>IF(CJ$6&lt;'Data Entry'!$B$12,IF('Data Entry'!$C92="Annual",'Data Entry'!$B92,(IF(AND('Data Entry'!$C92="One-off in Year X (Specify)",'Data Entry'!$D92=Cashflow!CJ$5),'Data Entry'!$B92,0))),0)</f>
        <v>0</v>
      </c>
      <c r="CK59" s="177">
        <f>IF(CK$6&lt;'Data Entry'!$B$12,IF('Data Entry'!$C92="Annual",'Data Entry'!$B92,(IF(AND('Data Entry'!$C92="One-off in Year X (Specify)",'Data Entry'!$D92=Cashflow!CK$5),'Data Entry'!$B92,0))),0)</f>
        <v>0</v>
      </c>
      <c r="CL59" s="177">
        <f>IF(CL$6&lt;'Data Entry'!$B$12,IF('Data Entry'!$C92="Annual",'Data Entry'!$B92,(IF(AND('Data Entry'!$C92="One-off in Year X (Specify)",'Data Entry'!$D92=Cashflow!CL$5),'Data Entry'!$B92,0))),0)</f>
        <v>0</v>
      </c>
      <c r="CM59" s="177">
        <f>IF(CM$6&lt;'Data Entry'!$B$12,IF('Data Entry'!$C92="Annual",'Data Entry'!$B92,(IF(AND('Data Entry'!$C92="One-off in Year X (Specify)",'Data Entry'!$D92=Cashflow!CM$5),'Data Entry'!$B92,0))),0)</f>
        <v>0</v>
      </c>
      <c r="CN59" s="177">
        <f>IF(CN$6&lt;'Data Entry'!$B$12,IF('Data Entry'!$C92="Annual",'Data Entry'!$B92,(IF(AND('Data Entry'!$C92="One-off in Year X (Specify)",'Data Entry'!$D92=Cashflow!CN$5),'Data Entry'!$B92,0))),0)</f>
        <v>0</v>
      </c>
      <c r="CO59" s="177">
        <f>IF(CO$6&lt;'Data Entry'!$B$12,IF('Data Entry'!$C92="Annual",'Data Entry'!$B92,(IF(AND('Data Entry'!$C92="One-off in Year X (Specify)",'Data Entry'!$D92=Cashflow!CO$5),'Data Entry'!$B92,0))),0)</f>
        <v>0</v>
      </c>
      <c r="CP59" s="177">
        <f>IF(CP$6&lt;'Data Entry'!$B$12,IF('Data Entry'!$C92="Annual",'Data Entry'!$B92,(IF(AND('Data Entry'!$C92="One-off in Year X (Specify)",'Data Entry'!$D92=Cashflow!CP$5),'Data Entry'!$B92,0))),0)</f>
        <v>0</v>
      </c>
      <c r="CQ59" s="177">
        <f>IF(CQ$6&lt;'Data Entry'!$B$12,IF('Data Entry'!$C92="Annual",'Data Entry'!$B92,(IF(AND('Data Entry'!$C92="One-off in Year X (Specify)",'Data Entry'!$D92=Cashflow!CQ$5),'Data Entry'!$B92,0))),0)</f>
        <v>0</v>
      </c>
      <c r="CR59" s="177">
        <f>IF(CR$6&lt;'Data Entry'!$B$12,IF('Data Entry'!$C92="Annual",'Data Entry'!$B92,(IF(AND('Data Entry'!$C92="One-off in Year X (Specify)",'Data Entry'!$D92=Cashflow!CR$5),'Data Entry'!$B92,0))),0)</f>
        <v>0</v>
      </c>
      <c r="CS59" s="177">
        <f>IF(CS$6&lt;'Data Entry'!$B$12,IF('Data Entry'!$C92="Annual",'Data Entry'!$B92,(IF(AND('Data Entry'!$C92="One-off in Year X (Specify)",'Data Entry'!$D92=Cashflow!CS$5),'Data Entry'!$B92,0))),0)</f>
        <v>0</v>
      </c>
      <c r="CT59" s="177">
        <f>IF(CT$6&lt;'Data Entry'!$B$12,IF('Data Entry'!$C92="Annual",'Data Entry'!$B92,(IF(AND('Data Entry'!$C92="One-off in Year X (Specify)",'Data Entry'!$D92=Cashflow!CT$5),'Data Entry'!$B92,0))),0)</f>
        <v>0</v>
      </c>
      <c r="CU59" s="177">
        <f>IF(CU$6&lt;'Data Entry'!$B$12,IF('Data Entry'!$C92="Annual",'Data Entry'!$B92,(IF(AND('Data Entry'!$C92="One-off in Year X (Specify)",'Data Entry'!$D92=Cashflow!CU$5),'Data Entry'!$B92,0))),0)</f>
        <v>0</v>
      </c>
      <c r="CV59" s="177">
        <f>IF(CV$6&lt;'Data Entry'!$B$12,IF('Data Entry'!$C92="Annual",'Data Entry'!$B92,(IF(AND('Data Entry'!$C92="One-off in Year X (Specify)",'Data Entry'!$D92=Cashflow!CV$5),'Data Entry'!$B92,0))),0)</f>
        <v>0</v>
      </c>
      <c r="CW59" s="177">
        <f>IF(CW$6&lt;'Data Entry'!$B$12,IF('Data Entry'!$C92="Annual",'Data Entry'!$B92,(IF(AND('Data Entry'!$C92="One-off in Year X (Specify)",'Data Entry'!$D92=Cashflow!CW$5),'Data Entry'!$B92,0))),0)</f>
        <v>0</v>
      </c>
      <c r="CX59" s="177">
        <f>IF(CX$6&lt;'Data Entry'!$B$12,IF('Data Entry'!$C92="Annual",'Data Entry'!$B92,(IF(AND('Data Entry'!$C92="One-off in Year X (Specify)",'Data Entry'!$D92=Cashflow!CX$5),'Data Entry'!$B92,0))),0)</f>
        <v>0</v>
      </c>
      <c r="CY59" s="177">
        <f>IF(CY$6&lt;'Data Entry'!$B$12,IF('Data Entry'!$C92="Annual",'Data Entry'!$B92,(IF(AND('Data Entry'!$C92="One-off in Year X (Specify)",'Data Entry'!$D92=Cashflow!CY$5),'Data Entry'!$B92,0))),0)</f>
        <v>0</v>
      </c>
    </row>
    <row r="60" spans="1:103" ht="15" customHeight="1" x14ac:dyDescent="0.2">
      <c r="A60" s="47" t="s">
        <v>78</v>
      </c>
      <c r="B60" s="465" t="str">
        <f>'Data Entry'!A93</f>
        <v>Name of Income 2</v>
      </c>
      <c r="C60" s="269">
        <f t="shared" si="16"/>
        <v>0</v>
      </c>
      <c r="D60" s="177">
        <f>IF(D$6&lt;'Data Entry'!$B$12,IF('Data Entry'!$C93="Annual",'Data Entry'!$B93,(IF(AND('Data Entry'!$C93="One-off in Year X (Specify)",'Data Entry'!$D93=Cashflow!D$5),'Data Entry'!$B93,0))),0)</f>
        <v>0</v>
      </c>
      <c r="E60" s="177">
        <f>IF(E$6&lt;'Data Entry'!$B$12,IF('Data Entry'!$C93="Annual",'Data Entry'!$B93,(IF(AND('Data Entry'!$C93="One-off in Year X (Specify)",'Data Entry'!$D93=Cashflow!E$5),'Data Entry'!$B93,0))),0)</f>
        <v>0</v>
      </c>
      <c r="F60" s="177">
        <f>IF(F$6&lt;'Data Entry'!$B$12,IF('Data Entry'!$C93="Annual",'Data Entry'!$B93,(IF(AND('Data Entry'!$C93="One-off in Year X (Specify)",'Data Entry'!$D93=Cashflow!F$5),'Data Entry'!$B93,0))),0)</f>
        <v>0</v>
      </c>
      <c r="G60" s="177">
        <f>IF(G$6&lt;'Data Entry'!$B$12,IF('Data Entry'!$C93="Annual",'Data Entry'!$B93,(IF(AND('Data Entry'!$C93="One-off in Year X (Specify)",'Data Entry'!$D93=Cashflow!G$5),'Data Entry'!$B93,0))),0)</f>
        <v>0</v>
      </c>
      <c r="H60" s="177">
        <f>IF(H$6&lt;'Data Entry'!$B$12,IF('Data Entry'!$C93="Annual",'Data Entry'!$B93,(IF(AND('Data Entry'!$C93="One-off in Year X (Specify)",'Data Entry'!$D93=Cashflow!H$5),'Data Entry'!$B93,0))),0)</f>
        <v>0</v>
      </c>
      <c r="I60" s="177">
        <f>IF(I$6&lt;'Data Entry'!$B$12,IF('Data Entry'!$C93="Annual",'Data Entry'!$B93,(IF(AND('Data Entry'!$C93="One-off in Year X (Specify)",'Data Entry'!$D93=Cashflow!I$5),'Data Entry'!$B93,0))),0)</f>
        <v>0</v>
      </c>
      <c r="J60" s="177">
        <f>IF(J$6&lt;'Data Entry'!$B$12,IF('Data Entry'!$C93="Annual",'Data Entry'!$B93,(IF(AND('Data Entry'!$C93="One-off in Year X (Specify)",'Data Entry'!$D93=Cashflow!J$5),'Data Entry'!$B93,0))),0)</f>
        <v>0</v>
      </c>
      <c r="K60" s="177">
        <f>IF(K$6&lt;'Data Entry'!$B$12,IF('Data Entry'!$C93="Annual",'Data Entry'!$B93,(IF(AND('Data Entry'!$C93="One-off in Year X (Specify)",'Data Entry'!$D93=Cashflow!K$5),'Data Entry'!$B93,0))),0)</f>
        <v>0</v>
      </c>
      <c r="L60" s="177">
        <f>IF(L$6&lt;'Data Entry'!$B$12,IF('Data Entry'!$C93="Annual",'Data Entry'!$B93,(IF(AND('Data Entry'!$C93="One-off in Year X (Specify)",'Data Entry'!$D93=Cashflow!L$5),'Data Entry'!$B93,0))),0)</f>
        <v>0</v>
      </c>
      <c r="M60" s="177">
        <f>IF(M$6&lt;'Data Entry'!$B$12,IF('Data Entry'!$C93="Annual",'Data Entry'!$B93,(IF(AND('Data Entry'!$C93="One-off in Year X (Specify)",'Data Entry'!$D93=Cashflow!M$5),'Data Entry'!$B93,0))),0)</f>
        <v>0</v>
      </c>
      <c r="N60" s="177">
        <f>IF(N$6&lt;'Data Entry'!$B$12,IF('Data Entry'!$C93="Annual",'Data Entry'!$B93,(IF(AND('Data Entry'!$C93="One-off in Year X (Specify)",'Data Entry'!$D93=Cashflow!N$5),'Data Entry'!$B93,0))),0)</f>
        <v>0</v>
      </c>
      <c r="O60" s="177">
        <f>IF(O$6&lt;'Data Entry'!$B$12,IF('Data Entry'!$C93="Annual",'Data Entry'!$B93,(IF(AND('Data Entry'!$C93="One-off in Year X (Specify)",'Data Entry'!$D93=Cashflow!O$5),'Data Entry'!$B93,0))),0)</f>
        <v>0</v>
      </c>
      <c r="P60" s="177">
        <f>IF(P$6&lt;'Data Entry'!$B$12,IF('Data Entry'!$C93="Annual",'Data Entry'!$B93,(IF(AND('Data Entry'!$C93="One-off in Year X (Specify)",'Data Entry'!$D93=Cashflow!P$5),'Data Entry'!$B93,0))),0)</f>
        <v>0</v>
      </c>
      <c r="Q60" s="177">
        <f>IF(Q$6&lt;'Data Entry'!$B$12,IF('Data Entry'!$C93="Annual",'Data Entry'!$B93,(IF(AND('Data Entry'!$C93="One-off in Year X (Specify)",'Data Entry'!$D93=Cashflow!Q$5),'Data Entry'!$B93,0))),0)</f>
        <v>0</v>
      </c>
      <c r="R60" s="177">
        <f>IF(R$6&lt;'Data Entry'!$B$12,IF('Data Entry'!$C93="Annual",'Data Entry'!$B93,(IF(AND('Data Entry'!$C93="One-off in Year X (Specify)",'Data Entry'!$D93=Cashflow!R$5),'Data Entry'!$B93,0))),0)</f>
        <v>0</v>
      </c>
      <c r="S60" s="177">
        <f>IF(S$6&lt;'Data Entry'!$B$12,IF('Data Entry'!$C93="Annual",'Data Entry'!$B93,(IF(AND('Data Entry'!$C93="One-off in Year X (Specify)",'Data Entry'!$D93=Cashflow!S$5),'Data Entry'!$B93,0))),0)</f>
        <v>0</v>
      </c>
      <c r="T60" s="177">
        <f>IF(T$6&lt;'Data Entry'!$B$12,IF('Data Entry'!$C93="Annual",'Data Entry'!$B93,(IF(AND('Data Entry'!$C93="One-off in Year X (Specify)",'Data Entry'!$D93=Cashflow!T$5),'Data Entry'!$B93,0))),0)</f>
        <v>0</v>
      </c>
      <c r="U60" s="177">
        <f>IF(U$6&lt;'Data Entry'!$B$12,IF('Data Entry'!$C93="Annual",'Data Entry'!$B93,(IF(AND('Data Entry'!$C93="One-off in Year X (Specify)",'Data Entry'!$D93=Cashflow!U$5),'Data Entry'!$B93,0))),0)</f>
        <v>0</v>
      </c>
      <c r="V60" s="177">
        <f>IF(V$6&lt;'Data Entry'!$B$12,IF('Data Entry'!$C93="Annual",'Data Entry'!$B93,(IF(AND('Data Entry'!$C93="One-off in Year X (Specify)",'Data Entry'!$D93=Cashflow!V$5),'Data Entry'!$B93,0))),0)</f>
        <v>0</v>
      </c>
      <c r="W60" s="177">
        <f>IF(W$6&lt;'Data Entry'!$B$12,IF('Data Entry'!$C93="Annual",'Data Entry'!$B93,(IF(AND('Data Entry'!$C93="One-off in Year X (Specify)",'Data Entry'!$D93=Cashflow!W$5),'Data Entry'!$B93,0))),0)</f>
        <v>0</v>
      </c>
      <c r="X60" s="177">
        <f>IF(X$6&lt;'Data Entry'!$B$12,IF('Data Entry'!$C93="Annual",'Data Entry'!$B93,(IF(AND('Data Entry'!$C93="One-off in Year X (Specify)",'Data Entry'!$D93=Cashflow!X$5),'Data Entry'!$B93,0))),0)</f>
        <v>0</v>
      </c>
      <c r="Y60" s="177">
        <f>IF(Y$6&lt;'Data Entry'!$B$12,IF('Data Entry'!$C93="Annual",'Data Entry'!$B93,(IF(AND('Data Entry'!$C93="One-off in Year X (Specify)",'Data Entry'!$D93=Cashflow!Y$5),'Data Entry'!$B93,0))),0)</f>
        <v>0</v>
      </c>
      <c r="Z60" s="177">
        <f>IF(Z$6&lt;'Data Entry'!$B$12,IF('Data Entry'!$C93="Annual",'Data Entry'!$B93,(IF(AND('Data Entry'!$C93="One-off in Year X (Specify)",'Data Entry'!$D93=Cashflow!Z$5),'Data Entry'!$B93,0))),0)</f>
        <v>0</v>
      </c>
      <c r="AA60" s="177">
        <f>IF(AA$6&lt;'Data Entry'!$B$12,IF('Data Entry'!$C93="Annual",'Data Entry'!$B93,(IF(AND('Data Entry'!$C93="One-off in Year X (Specify)",'Data Entry'!$D93=Cashflow!AA$5),'Data Entry'!$B93,0))),0)</f>
        <v>0</v>
      </c>
      <c r="AB60" s="177">
        <f>IF(AB$6&lt;'Data Entry'!$B$12,IF('Data Entry'!$C93="Annual",'Data Entry'!$B93,(IF(AND('Data Entry'!$C93="One-off in Year X (Specify)",'Data Entry'!$D93=Cashflow!AB$5),'Data Entry'!$B93,0))),0)</f>
        <v>0</v>
      </c>
      <c r="AC60" s="177">
        <f>IF(AC$6&lt;'Data Entry'!$B$12,IF('Data Entry'!$C93="Annual",'Data Entry'!$B93,(IF(AND('Data Entry'!$C93="One-off in Year X (Specify)",'Data Entry'!$D93=Cashflow!AC$5),'Data Entry'!$B93,0))),0)</f>
        <v>0</v>
      </c>
      <c r="AD60" s="177">
        <f>IF(AD$6&lt;'Data Entry'!$B$12,IF('Data Entry'!$C93="Annual",'Data Entry'!$B93,(IF(AND('Data Entry'!$C93="One-off in Year X (Specify)",'Data Entry'!$D93=Cashflow!AD$5),'Data Entry'!$B93,0))),0)</f>
        <v>0</v>
      </c>
      <c r="AE60" s="177">
        <f>IF(AE$6&lt;'Data Entry'!$B$12,IF('Data Entry'!$C93="Annual",'Data Entry'!$B93,(IF(AND('Data Entry'!$C93="One-off in Year X (Specify)",'Data Entry'!$D93=Cashflow!AE$5),'Data Entry'!$B93,0))),0)</f>
        <v>0</v>
      </c>
      <c r="AF60" s="177">
        <f>IF(AF$6&lt;'Data Entry'!$B$12,IF('Data Entry'!$C93="Annual",'Data Entry'!$B93,(IF(AND('Data Entry'!$C93="One-off in Year X (Specify)",'Data Entry'!$D93=Cashflow!AF$5),'Data Entry'!$B93,0))),0)</f>
        <v>0</v>
      </c>
      <c r="AG60" s="177">
        <f>IF(AG$6&lt;'Data Entry'!$B$12,IF('Data Entry'!$C93="Annual",'Data Entry'!$B93,(IF(AND('Data Entry'!$C93="One-off in Year X (Specify)",'Data Entry'!$D93=Cashflow!AG$5),'Data Entry'!$B93,0))),0)</f>
        <v>0</v>
      </c>
      <c r="AH60" s="177">
        <f>IF(AH$6&lt;'Data Entry'!$B$12,IF('Data Entry'!$C93="Annual",'Data Entry'!$B93,(IF(AND('Data Entry'!$C93="One-off in Year X (Specify)",'Data Entry'!$D93=Cashflow!AH$5),'Data Entry'!$B93,0))),0)</f>
        <v>0</v>
      </c>
      <c r="AI60" s="177">
        <f>IF(AI$6&lt;'Data Entry'!$B$12,IF('Data Entry'!$C93="Annual",'Data Entry'!$B93,(IF(AND('Data Entry'!$C93="One-off in Year X (Specify)",'Data Entry'!$D93=Cashflow!AI$5),'Data Entry'!$B93,0))),0)</f>
        <v>0</v>
      </c>
      <c r="AJ60" s="177">
        <f>IF(AJ$6&lt;'Data Entry'!$B$12,IF('Data Entry'!$C93="Annual",'Data Entry'!$B93,(IF(AND('Data Entry'!$C93="One-off in Year X (Specify)",'Data Entry'!$D93=Cashflow!AJ$5),'Data Entry'!$B93,0))),0)</f>
        <v>0</v>
      </c>
      <c r="AK60" s="177">
        <f>IF(AK$6&lt;'Data Entry'!$B$12,IF('Data Entry'!$C93="Annual",'Data Entry'!$B93,(IF(AND('Data Entry'!$C93="One-off in Year X (Specify)",'Data Entry'!$D93=Cashflow!AK$5),'Data Entry'!$B93,0))),0)</f>
        <v>0</v>
      </c>
      <c r="AL60" s="177">
        <f>IF(AL$6&lt;'Data Entry'!$B$12,IF('Data Entry'!$C93="Annual",'Data Entry'!$B93,(IF(AND('Data Entry'!$C93="One-off in Year X (Specify)",'Data Entry'!$D93=Cashflow!AL$5),'Data Entry'!$B93,0))),0)</f>
        <v>0</v>
      </c>
      <c r="AM60" s="177">
        <f>IF(AM$6&lt;'Data Entry'!$B$12,IF('Data Entry'!$C93="Annual",'Data Entry'!$B93,(IF(AND('Data Entry'!$C93="One-off in Year X (Specify)",'Data Entry'!$D93=Cashflow!AM$5),'Data Entry'!$B93,0))),0)</f>
        <v>0</v>
      </c>
      <c r="AN60" s="177">
        <f>IF(AN$6&lt;'Data Entry'!$B$12,IF('Data Entry'!$C93="Annual",'Data Entry'!$B93,(IF(AND('Data Entry'!$C93="One-off in Year X (Specify)",'Data Entry'!$D93=Cashflow!AN$5),'Data Entry'!$B93,0))),0)</f>
        <v>0</v>
      </c>
      <c r="AO60" s="445">
        <f>IF(AO$6&lt;'Data Entry'!$B$12,IF('Data Entry'!$C93="Annual",'Data Entry'!$B93,(IF(AND('Data Entry'!$C93="One-off in Year X (Specify)",'Data Entry'!$D93=Cashflow!AO$5),'Data Entry'!$B93,0))),0)</f>
        <v>0</v>
      </c>
      <c r="AP60" s="177">
        <f>IF(AP$6&lt;'Data Entry'!$B$12,IF('Data Entry'!$C93="Annual",'Data Entry'!$B93,(IF(AND('Data Entry'!$C93="One-off in Year X (Specify)",'Data Entry'!$D93=Cashflow!AP$5),'Data Entry'!$B93,0))),0)</f>
        <v>0</v>
      </c>
      <c r="AQ60" s="177">
        <f>IF(AQ$6&lt;'Data Entry'!$B$12,IF('Data Entry'!$C93="Annual",'Data Entry'!$B93,(IF(AND('Data Entry'!$C93="One-off in Year X (Specify)",'Data Entry'!$D93=Cashflow!AQ$5),'Data Entry'!$B93,0))),0)</f>
        <v>0</v>
      </c>
      <c r="AR60" s="177">
        <f>IF(AR$6&lt;'Data Entry'!$B$12,IF('Data Entry'!$C93="Annual",'Data Entry'!$B93,(IF(AND('Data Entry'!$C93="One-off in Year X (Specify)",'Data Entry'!$D93=Cashflow!AR$5),'Data Entry'!$B93,0))),0)</f>
        <v>0</v>
      </c>
      <c r="AS60" s="177">
        <f>IF(AS$6&lt;'Data Entry'!$B$12,IF('Data Entry'!$C93="Annual",'Data Entry'!$B93,(IF(AND('Data Entry'!$C93="One-off in Year X (Specify)",'Data Entry'!$D93=Cashflow!AS$5),'Data Entry'!$B93,0))),0)</f>
        <v>0</v>
      </c>
      <c r="AT60" s="177">
        <f>IF(AT$6&lt;'Data Entry'!$B$12,IF('Data Entry'!$C93="Annual",'Data Entry'!$B93,(IF(AND('Data Entry'!$C93="One-off in Year X (Specify)",'Data Entry'!$D93=Cashflow!AT$5),'Data Entry'!$B93,0))),0)</f>
        <v>0</v>
      </c>
      <c r="AU60" s="177">
        <f>IF(AU$6&lt;'Data Entry'!$B$12,IF('Data Entry'!$C93="Annual",'Data Entry'!$B93,(IF(AND('Data Entry'!$C93="One-off in Year X (Specify)",'Data Entry'!$D93=Cashflow!AU$5),'Data Entry'!$B93,0))),0)</f>
        <v>0</v>
      </c>
      <c r="AV60" s="177">
        <f>IF(AV$6&lt;'Data Entry'!$B$12,IF('Data Entry'!$C93="Annual",'Data Entry'!$B93,(IF(AND('Data Entry'!$C93="One-off in Year X (Specify)",'Data Entry'!$D93=Cashflow!AV$5),'Data Entry'!$B93,0))),0)</f>
        <v>0</v>
      </c>
      <c r="AW60" s="177">
        <f>IF(AW$6&lt;'Data Entry'!$B$12,IF('Data Entry'!$C93="Annual",'Data Entry'!$B93,(IF(AND('Data Entry'!$C93="One-off in Year X (Specify)",'Data Entry'!$D93=Cashflow!AW$5),'Data Entry'!$B93,0))),0)</f>
        <v>0</v>
      </c>
      <c r="AX60" s="177">
        <f>IF(AX$6&lt;'Data Entry'!$B$12,IF('Data Entry'!$C93="Annual",'Data Entry'!$B93,(IF(AND('Data Entry'!$C93="One-off in Year X (Specify)",'Data Entry'!$D93=Cashflow!AX$5),'Data Entry'!$B93,0))),0)</f>
        <v>0</v>
      </c>
      <c r="AY60" s="177">
        <f>IF(AY$6&lt;'Data Entry'!$B$12,IF('Data Entry'!$C93="Annual",'Data Entry'!$B93,(IF(AND('Data Entry'!$C93="One-off in Year X (Specify)",'Data Entry'!$D93=Cashflow!AY$5),'Data Entry'!$B93,0))),0)</f>
        <v>0</v>
      </c>
      <c r="AZ60" s="177">
        <f>IF(AZ$6&lt;'Data Entry'!$B$12,IF('Data Entry'!$C93="Annual",'Data Entry'!$B93,(IF(AND('Data Entry'!$C93="One-off in Year X (Specify)",'Data Entry'!$D93=Cashflow!AZ$5),'Data Entry'!$B93,0))),0)</f>
        <v>0</v>
      </c>
      <c r="BA60" s="177">
        <f>IF(BA$6&lt;'Data Entry'!$B$12,IF('Data Entry'!$C93="Annual",'Data Entry'!$B93,(IF(AND('Data Entry'!$C93="One-off in Year X (Specify)",'Data Entry'!$D93=Cashflow!BA$5),'Data Entry'!$B93,0))),0)</f>
        <v>0</v>
      </c>
      <c r="BB60" s="177">
        <f>IF(BB$6&lt;'Data Entry'!$B$12,IF('Data Entry'!$C93="Annual",'Data Entry'!$B93,(IF(AND('Data Entry'!$C93="One-off in Year X (Specify)",'Data Entry'!$D93=Cashflow!BB$5),'Data Entry'!$B93,0))),0)</f>
        <v>0</v>
      </c>
      <c r="BC60" s="177">
        <f>IF(BC$6&lt;'Data Entry'!$B$12,IF('Data Entry'!$C93="Annual",'Data Entry'!$B93,(IF(AND('Data Entry'!$C93="One-off in Year X (Specify)",'Data Entry'!$D93=Cashflow!BC$5),'Data Entry'!$B93,0))),0)</f>
        <v>0</v>
      </c>
      <c r="BD60" s="177">
        <f>IF(BD$6&lt;'Data Entry'!$B$12,IF('Data Entry'!$C93="Annual",'Data Entry'!$B93,(IF(AND('Data Entry'!$C93="One-off in Year X (Specify)",'Data Entry'!$D93=Cashflow!BD$5),'Data Entry'!$B93,0))),0)</f>
        <v>0</v>
      </c>
      <c r="BE60" s="177">
        <f>IF(BE$6&lt;'Data Entry'!$B$12,IF('Data Entry'!$C93="Annual",'Data Entry'!$B93,(IF(AND('Data Entry'!$C93="One-off in Year X (Specify)",'Data Entry'!$D93=Cashflow!BE$5),'Data Entry'!$B93,0))),0)</f>
        <v>0</v>
      </c>
      <c r="BF60" s="177">
        <f>IF(BF$6&lt;'Data Entry'!$B$12,IF('Data Entry'!$C93="Annual",'Data Entry'!$B93,(IF(AND('Data Entry'!$C93="One-off in Year X (Specify)",'Data Entry'!$D93=Cashflow!BF$5),'Data Entry'!$B93,0))),0)</f>
        <v>0</v>
      </c>
      <c r="BG60" s="177">
        <f>IF(BG$6&lt;'Data Entry'!$B$12,IF('Data Entry'!$C93="Annual",'Data Entry'!$B93,(IF(AND('Data Entry'!$C93="One-off in Year X (Specify)",'Data Entry'!$D93=Cashflow!BG$5),'Data Entry'!$B93,0))),0)</f>
        <v>0</v>
      </c>
      <c r="BH60" s="177">
        <f>IF(BH$6&lt;'Data Entry'!$B$12,IF('Data Entry'!$C93="Annual",'Data Entry'!$B93,(IF(AND('Data Entry'!$C93="One-off in Year X (Specify)",'Data Entry'!$D93=Cashflow!BH$5),'Data Entry'!$B93,0))),0)</f>
        <v>0</v>
      </c>
      <c r="BI60" s="177">
        <f>IF(BI$6&lt;'Data Entry'!$B$12,IF('Data Entry'!$C93="Annual",'Data Entry'!$B93,(IF(AND('Data Entry'!$C93="One-off in Year X (Specify)",'Data Entry'!$D93=Cashflow!BI$5),'Data Entry'!$B93,0))),0)</f>
        <v>0</v>
      </c>
      <c r="BJ60" s="177">
        <f>IF(BJ$6&lt;'Data Entry'!$B$12,IF('Data Entry'!$C93="Annual",'Data Entry'!$B93,(IF(AND('Data Entry'!$C93="One-off in Year X (Specify)",'Data Entry'!$D93=Cashflow!BJ$5),'Data Entry'!$B93,0))),0)</f>
        <v>0</v>
      </c>
      <c r="BK60" s="445">
        <f>IF(BK$6&lt;'Data Entry'!$B$12,IF('Data Entry'!$C93="Annual",'Data Entry'!$B93,(IF(AND('Data Entry'!$C93="One-off in Year X (Specify)",'Data Entry'!$D93=Cashflow!BK$5),'Data Entry'!$B93,0))),0)</f>
        <v>0</v>
      </c>
      <c r="BL60" s="177">
        <f>IF(BL$6&lt;'Data Entry'!$B$12,IF('Data Entry'!$C93="Annual",'Data Entry'!$B93,(IF(AND('Data Entry'!$C93="One-off in Year X (Specify)",'Data Entry'!$D93=Cashflow!BL$5),'Data Entry'!$B93,0))),0)</f>
        <v>0</v>
      </c>
      <c r="BM60" s="177">
        <f>IF(BM$6&lt;'Data Entry'!$B$12,IF('Data Entry'!$C93="Annual",'Data Entry'!$B93,(IF(AND('Data Entry'!$C93="One-off in Year X (Specify)",'Data Entry'!$D93=Cashflow!BM$5),'Data Entry'!$B93,0))),0)</f>
        <v>0</v>
      </c>
      <c r="BN60" s="177">
        <f>IF(BN$6&lt;'Data Entry'!$B$12,IF('Data Entry'!$C93="Annual",'Data Entry'!$B93,(IF(AND('Data Entry'!$C93="One-off in Year X (Specify)",'Data Entry'!$D93=Cashflow!BN$5),'Data Entry'!$B93,0))),0)</f>
        <v>0</v>
      </c>
      <c r="BO60" s="177">
        <f>IF(BO$6&lt;'Data Entry'!$B$12,IF('Data Entry'!$C93="Annual",'Data Entry'!$B93,(IF(AND('Data Entry'!$C93="One-off in Year X (Specify)",'Data Entry'!$D93=Cashflow!BO$5),'Data Entry'!$B93,0))),0)</f>
        <v>0</v>
      </c>
      <c r="BP60" s="177">
        <f>IF(BP$6&lt;'Data Entry'!$B$12,IF('Data Entry'!$C93="Annual",'Data Entry'!$B93,(IF(AND('Data Entry'!$C93="One-off in Year X (Specify)",'Data Entry'!$D93=Cashflow!BP$5),'Data Entry'!$B93,0))),0)</f>
        <v>0</v>
      </c>
      <c r="BQ60" s="177">
        <f>IF(BQ$6&lt;'Data Entry'!$B$12,IF('Data Entry'!$C93="Annual",'Data Entry'!$B93,(IF(AND('Data Entry'!$C93="One-off in Year X (Specify)",'Data Entry'!$D93=Cashflow!BQ$5),'Data Entry'!$B93,0))),0)</f>
        <v>0</v>
      </c>
      <c r="BR60" s="177">
        <f>IF(BR$6&lt;'Data Entry'!$B$12,IF('Data Entry'!$C93="Annual",'Data Entry'!$B93,(IF(AND('Data Entry'!$C93="One-off in Year X (Specify)",'Data Entry'!$D93=Cashflow!BR$5),'Data Entry'!$B93,0))),0)</f>
        <v>0</v>
      </c>
      <c r="BS60" s="177">
        <f>IF(BS$6&lt;'Data Entry'!$B$12,IF('Data Entry'!$C93="Annual",'Data Entry'!$B93,(IF(AND('Data Entry'!$C93="One-off in Year X (Specify)",'Data Entry'!$D93=Cashflow!BS$5),'Data Entry'!$B93,0))),0)</f>
        <v>0</v>
      </c>
      <c r="BT60" s="177">
        <f>IF(BT$6&lt;'Data Entry'!$B$12,IF('Data Entry'!$C93="Annual",'Data Entry'!$B93,(IF(AND('Data Entry'!$C93="One-off in Year X (Specify)",'Data Entry'!$D93=Cashflow!BT$5),'Data Entry'!$B93,0))),0)</f>
        <v>0</v>
      </c>
      <c r="BU60" s="177">
        <f>IF(BU$6&lt;'Data Entry'!$B$12,IF('Data Entry'!$C93="Annual",'Data Entry'!$B93,(IF(AND('Data Entry'!$C93="One-off in Year X (Specify)",'Data Entry'!$D93=Cashflow!BU$5),'Data Entry'!$B93,0))),0)</f>
        <v>0</v>
      </c>
      <c r="BV60" s="177">
        <f>IF(BV$6&lt;'Data Entry'!$B$12,IF('Data Entry'!$C93="Annual",'Data Entry'!$B93,(IF(AND('Data Entry'!$C93="One-off in Year X (Specify)",'Data Entry'!$D93=Cashflow!BV$5),'Data Entry'!$B93,0))),0)</f>
        <v>0</v>
      </c>
      <c r="BW60" s="177">
        <f>IF(BW$6&lt;'Data Entry'!$B$12,IF('Data Entry'!$C93="Annual",'Data Entry'!$B93,(IF(AND('Data Entry'!$C93="One-off in Year X (Specify)",'Data Entry'!$D93=Cashflow!BW$5),'Data Entry'!$B93,0))),0)</f>
        <v>0</v>
      </c>
      <c r="BX60" s="177">
        <f>IF(BX$6&lt;'Data Entry'!$B$12,IF('Data Entry'!$C93="Annual",'Data Entry'!$B93,(IF(AND('Data Entry'!$C93="One-off in Year X (Specify)",'Data Entry'!$D93=Cashflow!BX$5),'Data Entry'!$B93,0))),0)</f>
        <v>0</v>
      </c>
      <c r="BY60" s="177">
        <f>IF(BY$6&lt;'Data Entry'!$B$12,IF('Data Entry'!$C93="Annual",'Data Entry'!$B93,(IF(AND('Data Entry'!$C93="One-off in Year X (Specify)",'Data Entry'!$D93=Cashflow!BY$5),'Data Entry'!$B93,0))),0)</f>
        <v>0</v>
      </c>
      <c r="BZ60" s="177">
        <f>IF(BZ$6&lt;'Data Entry'!$B$12,IF('Data Entry'!$C93="Annual",'Data Entry'!$B93,(IF(AND('Data Entry'!$C93="One-off in Year X (Specify)",'Data Entry'!$D93=Cashflow!BZ$5),'Data Entry'!$B93,0))),0)</f>
        <v>0</v>
      </c>
      <c r="CA60" s="445">
        <f>IF(CA$6&lt;'Data Entry'!$B$12,IF('Data Entry'!$C93="Annual",'Data Entry'!$B93,(IF(AND('Data Entry'!$C93="One-off in Year X (Specify)",'Data Entry'!$D93=Cashflow!CA$5),'Data Entry'!$B93,0))),0)</f>
        <v>0</v>
      </c>
      <c r="CB60" s="177">
        <f>IF(CB$6&lt;'Data Entry'!$B$12,IF('Data Entry'!$C93="Annual",'Data Entry'!$B93,(IF(AND('Data Entry'!$C93="One-off in Year X (Specify)",'Data Entry'!$D93=Cashflow!CB$5),'Data Entry'!$B93,0))),0)</f>
        <v>0</v>
      </c>
      <c r="CC60" s="177">
        <f>IF(CC$6&lt;'Data Entry'!$B$12,IF('Data Entry'!$C93="Annual",'Data Entry'!$B93,(IF(AND('Data Entry'!$C93="One-off in Year X (Specify)",'Data Entry'!$D93=Cashflow!CC$5),'Data Entry'!$B93,0))),0)</f>
        <v>0</v>
      </c>
      <c r="CD60" s="177">
        <f>IF(CD$6&lt;'Data Entry'!$B$12,IF('Data Entry'!$C93="Annual",'Data Entry'!$B93,(IF(AND('Data Entry'!$C93="One-off in Year X (Specify)",'Data Entry'!$D93=Cashflow!CD$5),'Data Entry'!$B93,0))),0)</f>
        <v>0</v>
      </c>
      <c r="CE60" s="177">
        <f>IF(CE$6&lt;'Data Entry'!$B$12,IF('Data Entry'!$C93="Annual",'Data Entry'!$B93,(IF(AND('Data Entry'!$C93="One-off in Year X (Specify)",'Data Entry'!$D93=Cashflow!CE$5),'Data Entry'!$B93,0))),0)</f>
        <v>0</v>
      </c>
      <c r="CF60" s="177">
        <f>IF(CF$6&lt;'Data Entry'!$B$12,IF('Data Entry'!$C93="Annual",'Data Entry'!$B93,(IF(AND('Data Entry'!$C93="One-off in Year X (Specify)",'Data Entry'!$D93=Cashflow!CF$5),'Data Entry'!$B93,0))),0)</f>
        <v>0</v>
      </c>
      <c r="CG60" s="177">
        <f>IF(CG$6&lt;'Data Entry'!$B$12,IF('Data Entry'!$C93="Annual",'Data Entry'!$B93,(IF(AND('Data Entry'!$C93="One-off in Year X (Specify)",'Data Entry'!$D93=Cashflow!CG$5),'Data Entry'!$B93,0))),0)</f>
        <v>0</v>
      </c>
      <c r="CH60" s="177">
        <f>IF(CH$6&lt;'Data Entry'!$B$12,IF('Data Entry'!$C93="Annual",'Data Entry'!$B93,(IF(AND('Data Entry'!$C93="One-off in Year X (Specify)",'Data Entry'!$D93=Cashflow!CH$5),'Data Entry'!$B93,0))),0)</f>
        <v>0</v>
      </c>
      <c r="CI60" s="177">
        <f>IF(CI$6&lt;'Data Entry'!$B$12,IF('Data Entry'!$C93="Annual",'Data Entry'!$B93,(IF(AND('Data Entry'!$C93="One-off in Year X (Specify)",'Data Entry'!$D93=Cashflow!CI$5),'Data Entry'!$B93,0))),0)</f>
        <v>0</v>
      </c>
      <c r="CJ60" s="177">
        <f>IF(CJ$6&lt;'Data Entry'!$B$12,IF('Data Entry'!$C93="Annual",'Data Entry'!$B93,(IF(AND('Data Entry'!$C93="One-off in Year X (Specify)",'Data Entry'!$D93=Cashflow!CJ$5),'Data Entry'!$B93,0))),0)</f>
        <v>0</v>
      </c>
      <c r="CK60" s="177">
        <f>IF(CK$6&lt;'Data Entry'!$B$12,IF('Data Entry'!$C93="Annual",'Data Entry'!$B93,(IF(AND('Data Entry'!$C93="One-off in Year X (Specify)",'Data Entry'!$D93=Cashflow!CK$5),'Data Entry'!$B93,0))),0)</f>
        <v>0</v>
      </c>
      <c r="CL60" s="177">
        <f>IF(CL$6&lt;'Data Entry'!$B$12,IF('Data Entry'!$C93="Annual",'Data Entry'!$B93,(IF(AND('Data Entry'!$C93="One-off in Year X (Specify)",'Data Entry'!$D93=Cashflow!CL$5),'Data Entry'!$B93,0))),0)</f>
        <v>0</v>
      </c>
      <c r="CM60" s="177">
        <f>IF(CM$6&lt;'Data Entry'!$B$12,IF('Data Entry'!$C93="Annual",'Data Entry'!$B93,(IF(AND('Data Entry'!$C93="One-off in Year X (Specify)",'Data Entry'!$D93=Cashflow!CM$5),'Data Entry'!$B93,0))),0)</f>
        <v>0</v>
      </c>
      <c r="CN60" s="177">
        <f>IF(CN$6&lt;'Data Entry'!$B$12,IF('Data Entry'!$C93="Annual",'Data Entry'!$B93,(IF(AND('Data Entry'!$C93="One-off in Year X (Specify)",'Data Entry'!$D93=Cashflow!CN$5),'Data Entry'!$B93,0))),0)</f>
        <v>0</v>
      </c>
      <c r="CO60" s="177">
        <f>IF(CO$6&lt;'Data Entry'!$B$12,IF('Data Entry'!$C93="Annual",'Data Entry'!$B93,(IF(AND('Data Entry'!$C93="One-off in Year X (Specify)",'Data Entry'!$D93=Cashflow!CO$5),'Data Entry'!$B93,0))),0)</f>
        <v>0</v>
      </c>
      <c r="CP60" s="177">
        <f>IF(CP$6&lt;'Data Entry'!$B$12,IF('Data Entry'!$C93="Annual",'Data Entry'!$B93,(IF(AND('Data Entry'!$C93="One-off in Year X (Specify)",'Data Entry'!$D93=Cashflow!CP$5),'Data Entry'!$B93,0))),0)</f>
        <v>0</v>
      </c>
      <c r="CQ60" s="177">
        <f>IF(CQ$6&lt;'Data Entry'!$B$12,IF('Data Entry'!$C93="Annual",'Data Entry'!$B93,(IF(AND('Data Entry'!$C93="One-off in Year X (Specify)",'Data Entry'!$D93=Cashflow!CQ$5),'Data Entry'!$B93,0))),0)</f>
        <v>0</v>
      </c>
      <c r="CR60" s="177">
        <f>IF(CR$6&lt;'Data Entry'!$B$12,IF('Data Entry'!$C93="Annual",'Data Entry'!$B93,(IF(AND('Data Entry'!$C93="One-off in Year X (Specify)",'Data Entry'!$D93=Cashflow!CR$5),'Data Entry'!$B93,0))),0)</f>
        <v>0</v>
      </c>
      <c r="CS60" s="177">
        <f>IF(CS$6&lt;'Data Entry'!$B$12,IF('Data Entry'!$C93="Annual",'Data Entry'!$B93,(IF(AND('Data Entry'!$C93="One-off in Year X (Specify)",'Data Entry'!$D93=Cashflow!CS$5),'Data Entry'!$B93,0))),0)</f>
        <v>0</v>
      </c>
      <c r="CT60" s="177">
        <f>IF(CT$6&lt;'Data Entry'!$B$12,IF('Data Entry'!$C93="Annual",'Data Entry'!$B93,(IF(AND('Data Entry'!$C93="One-off in Year X (Specify)",'Data Entry'!$D93=Cashflow!CT$5),'Data Entry'!$B93,0))),0)</f>
        <v>0</v>
      </c>
      <c r="CU60" s="177">
        <f>IF(CU$6&lt;'Data Entry'!$B$12,IF('Data Entry'!$C93="Annual",'Data Entry'!$B93,(IF(AND('Data Entry'!$C93="One-off in Year X (Specify)",'Data Entry'!$D93=Cashflow!CU$5),'Data Entry'!$B93,0))),0)</f>
        <v>0</v>
      </c>
      <c r="CV60" s="177">
        <f>IF(CV$6&lt;'Data Entry'!$B$12,IF('Data Entry'!$C93="Annual",'Data Entry'!$B93,(IF(AND('Data Entry'!$C93="One-off in Year X (Specify)",'Data Entry'!$D93=Cashflow!CV$5),'Data Entry'!$B93,0))),0)</f>
        <v>0</v>
      </c>
      <c r="CW60" s="177">
        <f>IF(CW$6&lt;'Data Entry'!$B$12,IF('Data Entry'!$C93="Annual",'Data Entry'!$B93,(IF(AND('Data Entry'!$C93="One-off in Year X (Specify)",'Data Entry'!$D93=Cashflow!CW$5),'Data Entry'!$B93,0))),0)</f>
        <v>0</v>
      </c>
      <c r="CX60" s="177">
        <f>IF(CX$6&lt;'Data Entry'!$B$12,IF('Data Entry'!$C93="Annual",'Data Entry'!$B93,(IF(AND('Data Entry'!$C93="One-off in Year X (Specify)",'Data Entry'!$D93=Cashflow!CX$5),'Data Entry'!$B93,0))),0)</f>
        <v>0</v>
      </c>
      <c r="CY60" s="177">
        <f>IF(CY$6&lt;'Data Entry'!$B$12,IF('Data Entry'!$C93="Annual",'Data Entry'!$B93,(IF(AND('Data Entry'!$C93="One-off in Year X (Specify)",'Data Entry'!$D93=Cashflow!CY$5),'Data Entry'!$B93,0))),0)</f>
        <v>0</v>
      </c>
    </row>
    <row r="61" spans="1:103" ht="15" customHeight="1" x14ac:dyDescent="0.2">
      <c r="A61" s="47" t="s">
        <v>78</v>
      </c>
      <c r="B61" s="465" t="str">
        <f>'Data Entry'!A94</f>
        <v>Name of Income 3</v>
      </c>
      <c r="C61" s="269">
        <f t="shared" si="16"/>
        <v>0</v>
      </c>
      <c r="D61" s="177">
        <f>IF(D$6&lt;'Data Entry'!$B$12,IF('Data Entry'!$C94="Annual",'Data Entry'!$B94,(IF(AND('Data Entry'!$C94="One-off in Year X (Specify)",'Data Entry'!$D94=Cashflow!D$5),'Data Entry'!$B94,0))),0)</f>
        <v>0</v>
      </c>
      <c r="E61" s="177">
        <f>IF(E$6&lt;'Data Entry'!$B$12,IF('Data Entry'!$C94="Annual",'Data Entry'!$B94,(IF(AND('Data Entry'!$C94="One-off in Year X (Specify)",'Data Entry'!$D94=Cashflow!E$5),'Data Entry'!$B94,0))),0)</f>
        <v>0</v>
      </c>
      <c r="F61" s="177">
        <f>IF(F$6&lt;'Data Entry'!$B$12,IF('Data Entry'!$C94="Annual",'Data Entry'!$B94,(IF(AND('Data Entry'!$C94="One-off in Year X (Specify)",'Data Entry'!$D94=Cashflow!F$5),'Data Entry'!$B94,0))),0)</f>
        <v>0</v>
      </c>
      <c r="G61" s="177">
        <f>IF(G$6&lt;'Data Entry'!$B$12,IF('Data Entry'!$C94="Annual",'Data Entry'!$B94,(IF(AND('Data Entry'!$C94="One-off in Year X (Specify)",'Data Entry'!$D94=Cashflow!G$5),'Data Entry'!$B94,0))),0)</f>
        <v>0</v>
      </c>
      <c r="H61" s="177">
        <f>IF(H$6&lt;'Data Entry'!$B$12,IF('Data Entry'!$C94="Annual",'Data Entry'!$B94,(IF(AND('Data Entry'!$C94="One-off in Year X (Specify)",'Data Entry'!$D94=Cashflow!H$5),'Data Entry'!$B94,0))),0)</f>
        <v>0</v>
      </c>
      <c r="I61" s="177">
        <f>IF(I$6&lt;'Data Entry'!$B$12,IF('Data Entry'!$C94="Annual",'Data Entry'!$B94,(IF(AND('Data Entry'!$C94="One-off in Year X (Specify)",'Data Entry'!$D94=Cashflow!I$5),'Data Entry'!$B94,0))),0)</f>
        <v>0</v>
      </c>
      <c r="J61" s="177">
        <f>IF(J$6&lt;'Data Entry'!$B$12,IF('Data Entry'!$C94="Annual",'Data Entry'!$B94,(IF(AND('Data Entry'!$C94="One-off in Year X (Specify)",'Data Entry'!$D94=Cashflow!J$5),'Data Entry'!$B94,0))),0)</f>
        <v>0</v>
      </c>
      <c r="K61" s="177">
        <f>IF(K$6&lt;'Data Entry'!$B$12,IF('Data Entry'!$C94="Annual",'Data Entry'!$B94,(IF(AND('Data Entry'!$C94="One-off in Year X (Specify)",'Data Entry'!$D94=Cashflow!K$5),'Data Entry'!$B94,0))),0)</f>
        <v>0</v>
      </c>
      <c r="L61" s="177">
        <f>IF(L$6&lt;'Data Entry'!$B$12,IF('Data Entry'!$C94="Annual",'Data Entry'!$B94,(IF(AND('Data Entry'!$C94="One-off in Year X (Specify)",'Data Entry'!$D94=Cashflow!L$5),'Data Entry'!$B94,0))),0)</f>
        <v>0</v>
      </c>
      <c r="M61" s="177">
        <f>IF(M$6&lt;'Data Entry'!$B$12,IF('Data Entry'!$C94="Annual",'Data Entry'!$B94,(IF(AND('Data Entry'!$C94="One-off in Year X (Specify)",'Data Entry'!$D94=Cashflow!M$5),'Data Entry'!$B94,0))),0)</f>
        <v>0</v>
      </c>
      <c r="N61" s="177">
        <f>IF(N$6&lt;'Data Entry'!$B$12,IF('Data Entry'!$C94="Annual",'Data Entry'!$B94,(IF(AND('Data Entry'!$C94="One-off in Year X (Specify)",'Data Entry'!$D94=Cashflow!N$5),'Data Entry'!$B94,0))),0)</f>
        <v>0</v>
      </c>
      <c r="O61" s="177">
        <f>IF(O$6&lt;'Data Entry'!$B$12,IF('Data Entry'!$C94="Annual",'Data Entry'!$B94,(IF(AND('Data Entry'!$C94="One-off in Year X (Specify)",'Data Entry'!$D94=Cashflow!O$5),'Data Entry'!$B94,0))),0)</f>
        <v>0</v>
      </c>
      <c r="P61" s="177">
        <f>IF(P$6&lt;'Data Entry'!$B$12,IF('Data Entry'!$C94="Annual",'Data Entry'!$B94,(IF(AND('Data Entry'!$C94="One-off in Year X (Specify)",'Data Entry'!$D94=Cashflow!P$5),'Data Entry'!$B94,0))),0)</f>
        <v>0</v>
      </c>
      <c r="Q61" s="177">
        <f>IF(Q$6&lt;'Data Entry'!$B$12,IF('Data Entry'!$C94="Annual",'Data Entry'!$B94,(IF(AND('Data Entry'!$C94="One-off in Year X (Specify)",'Data Entry'!$D94=Cashflow!Q$5),'Data Entry'!$B94,0))),0)</f>
        <v>0</v>
      </c>
      <c r="R61" s="177">
        <f>IF(R$6&lt;'Data Entry'!$B$12,IF('Data Entry'!$C94="Annual",'Data Entry'!$B94,(IF(AND('Data Entry'!$C94="One-off in Year X (Specify)",'Data Entry'!$D94=Cashflow!R$5),'Data Entry'!$B94,0))),0)</f>
        <v>0</v>
      </c>
      <c r="S61" s="177">
        <f>IF(S$6&lt;'Data Entry'!$B$12,IF('Data Entry'!$C94="Annual",'Data Entry'!$B94,(IF(AND('Data Entry'!$C94="One-off in Year X (Specify)",'Data Entry'!$D94=Cashflow!S$5),'Data Entry'!$B94,0))),0)</f>
        <v>0</v>
      </c>
      <c r="T61" s="177">
        <f>IF(T$6&lt;'Data Entry'!$B$12,IF('Data Entry'!$C94="Annual",'Data Entry'!$B94,(IF(AND('Data Entry'!$C94="One-off in Year X (Specify)",'Data Entry'!$D94=Cashflow!T$5),'Data Entry'!$B94,0))),0)</f>
        <v>0</v>
      </c>
      <c r="U61" s="177">
        <f>IF(U$6&lt;'Data Entry'!$B$12,IF('Data Entry'!$C94="Annual",'Data Entry'!$B94,(IF(AND('Data Entry'!$C94="One-off in Year X (Specify)",'Data Entry'!$D94=Cashflow!U$5),'Data Entry'!$B94,0))),0)</f>
        <v>0</v>
      </c>
      <c r="V61" s="177">
        <f>IF(V$6&lt;'Data Entry'!$B$12,IF('Data Entry'!$C94="Annual",'Data Entry'!$B94,(IF(AND('Data Entry'!$C94="One-off in Year X (Specify)",'Data Entry'!$D94=Cashflow!V$5),'Data Entry'!$B94,0))),0)</f>
        <v>0</v>
      </c>
      <c r="W61" s="177">
        <f>IF(W$6&lt;'Data Entry'!$B$12,IF('Data Entry'!$C94="Annual",'Data Entry'!$B94,(IF(AND('Data Entry'!$C94="One-off in Year X (Specify)",'Data Entry'!$D94=Cashflow!W$5),'Data Entry'!$B94,0))),0)</f>
        <v>0</v>
      </c>
      <c r="X61" s="177">
        <f>IF(X$6&lt;'Data Entry'!$B$12,IF('Data Entry'!$C94="Annual",'Data Entry'!$B94,(IF(AND('Data Entry'!$C94="One-off in Year X (Specify)",'Data Entry'!$D94=Cashflow!X$5),'Data Entry'!$B94,0))),0)</f>
        <v>0</v>
      </c>
      <c r="Y61" s="177">
        <f>IF(Y$6&lt;'Data Entry'!$B$12,IF('Data Entry'!$C94="Annual",'Data Entry'!$B94,(IF(AND('Data Entry'!$C94="One-off in Year X (Specify)",'Data Entry'!$D94=Cashflow!Y$5),'Data Entry'!$B94,0))),0)</f>
        <v>0</v>
      </c>
      <c r="Z61" s="177">
        <f>IF(Z$6&lt;'Data Entry'!$B$12,IF('Data Entry'!$C94="Annual",'Data Entry'!$B94,(IF(AND('Data Entry'!$C94="One-off in Year X (Specify)",'Data Entry'!$D94=Cashflow!Z$5),'Data Entry'!$B94,0))),0)</f>
        <v>0</v>
      </c>
      <c r="AA61" s="177">
        <f>IF(AA$6&lt;'Data Entry'!$B$12,IF('Data Entry'!$C94="Annual",'Data Entry'!$B94,(IF(AND('Data Entry'!$C94="One-off in Year X (Specify)",'Data Entry'!$D94=Cashflow!AA$5),'Data Entry'!$B94,0))),0)</f>
        <v>0</v>
      </c>
      <c r="AB61" s="177">
        <f>IF(AB$6&lt;'Data Entry'!$B$12,IF('Data Entry'!$C94="Annual",'Data Entry'!$B94,(IF(AND('Data Entry'!$C94="One-off in Year X (Specify)",'Data Entry'!$D94=Cashflow!AB$5),'Data Entry'!$B94,0))),0)</f>
        <v>0</v>
      </c>
      <c r="AC61" s="177">
        <f>IF(AC$6&lt;'Data Entry'!$B$12,IF('Data Entry'!$C94="Annual",'Data Entry'!$B94,(IF(AND('Data Entry'!$C94="One-off in Year X (Specify)",'Data Entry'!$D94=Cashflow!AC$5),'Data Entry'!$B94,0))),0)</f>
        <v>0</v>
      </c>
      <c r="AD61" s="177">
        <f>IF(AD$6&lt;'Data Entry'!$B$12,IF('Data Entry'!$C94="Annual",'Data Entry'!$B94,(IF(AND('Data Entry'!$C94="One-off in Year X (Specify)",'Data Entry'!$D94=Cashflow!AD$5),'Data Entry'!$B94,0))),0)</f>
        <v>0</v>
      </c>
      <c r="AE61" s="177">
        <f>IF(AE$6&lt;'Data Entry'!$B$12,IF('Data Entry'!$C94="Annual",'Data Entry'!$B94,(IF(AND('Data Entry'!$C94="One-off in Year X (Specify)",'Data Entry'!$D94=Cashflow!AE$5),'Data Entry'!$B94,0))),0)</f>
        <v>0</v>
      </c>
      <c r="AF61" s="177">
        <f>IF(AF$6&lt;'Data Entry'!$B$12,IF('Data Entry'!$C94="Annual",'Data Entry'!$B94,(IF(AND('Data Entry'!$C94="One-off in Year X (Specify)",'Data Entry'!$D94=Cashflow!AF$5),'Data Entry'!$B94,0))),0)</f>
        <v>0</v>
      </c>
      <c r="AG61" s="177">
        <f>IF(AG$6&lt;'Data Entry'!$B$12,IF('Data Entry'!$C94="Annual",'Data Entry'!$B94,(IF(AND('Data Entry'!$C94="One-off in Year X (Specify)",'Data Entry'!$D94=Cashflow!AG$5),'Data Entry'!$B94,0))),0)</f>
        <v>0</v>
      </c>
      <c r="AH61" s="177">
        <f>IF(AH$6&lt;'Data Entry'!$B$12,IF('Data Entry'!$C94="Annual",'Data Entry'!$B94,(IF(AND('Data Entry'!$C94="One-off in Year X (Specify)",'Data Entry'!$D94=Cashflow!AH$5),'Data Entry'!$B94,0))),0)</f>
        <v>0</v>
      </c>
      <c r="AI61" s="177">
        <f>IF(AI$6&lt;'Data Entry'!$B$12,IF('Data Entry'!$C94="Annual",'Data Entry'!$B94,(IF(AND('Data Entry'!$C94="One-off in Year X (Specify)",'Data Entry'!$D94=Cashflow!AI$5),'Data Entry'!$B94,0))),0)</f>
        <v>0</v>
      </c>
      <c r="AJ61" s="177">
        <f>IF(AJ$6&lt;'Data Entry'!$B$12,IF('Data Entry'!$C94="Annual",'Data Entry'!$B94,(IF(AND('Data Entry'!$C94="One-off in Year X (Specify)",'Data Entry'!$D94=Cashflow!AJ$5),'Data Entry'!$B94,0))),0)</f>
        <v>0</v>
      </c>
      <c r="AK61" s="177">
        <f>IF(AK$6&lt;'Data Entry'!$B$12,IF('Data Entry'!$C94="Annual",'Data Entry'!$B94,(IF(AND('Data Entry'!$C94="One-off in Year X (Specify)",'Data Entry'!$D94=Cashflow!AK$5),'Data Entry'!$B94,0))),0)</f>
        <v>0</v>
      </c>
      <c r="AL61" s="177">
        <f>IF(AL$6&lt;'Data Entry'!$B$12,IF('Data Entry'!$C94="Annual",'Data Entry'!$B94,(IF(AND('Data Entry'!$C94="One-off in Year X (Specify)",'Data Entry'!$D94=Cashflow!AL$5),'Data Entry'!$B94,0))),0)</f>
        <v>0</v>
      </c>
      <c r="AM61" s="177">
        <f>IF(AM$6&lt;'Data Entry'!$B$12,IF('Data Entry'!$C94="Annual",'Data Entry'!$B94,(IF(AND('Data Entry'!$C94="One-off in Year X (Specify)",'Data Entry'!$D94=Cashflow!AM$5),'Data Entry'!$B94,0))),0)</f>
        <v>0</v>
      </c>
      <c r="AN61" s="177">
        <f>IF(AN$6&lt;'Data Entry'!$B$12,IF('Data Entry'!$C94="Annual",'Data Entry'!$B94,(IF(AND('Data Entry'!$C94="One-off in Year X (Specify)",'Data Entry'!$D94=Cashflow!AN$5),'Data Entry'!$B94,0))),0)</f>
        <v>0</v>
      </c>
      <c r="AO61" s="445">
        <f>IF(AO$6&lt;'Data Entry'!$B$12,IF('Data Entry'!$C94="Annual",'Data Entry'!$B94,(IF(AND('Data Entry'!$C94="One-off in Year X (Specify)",'Data Entry'!$D94=Cashflow!AO$5),'Data Entry'!$B94,0))),0)</f>
        <v>0</v>
      </c>
      <c r="AP61" s="177">
        <f>IF(AP$6&lt;'Data Entry'!$B$12,IF('Data Entry'!$C94="Annual",'Data Entry'!$B94,(IF(AND('Data Entry'!$C94="One-off in Year X (Specify)",'Data Entry'!$D94=Cashflow!AP$5),'Data Entry'!$B94,0))),0)</f>
        <v>0</v>
      </c>
      <c r="AQ61" s="177">
        <f>IF(AQ$6&lt;'Data Entry'!$B$12,IF('Data Entry'!$C94="Annual",'Data Entry'!$B94,(IF(AND('Data Entry'!$C94="One-off in Year X (Specify)",'Data Entry'!$D94=Cashflow!AQ$5),'Data Entry'!$B94,0))),0)</f>
        <v>0</v>
      </c>
      <c r="AR61" s="177">
        <f>IF(AR$6&lt;'Data Entry'!$B$12,IF('Data Entry'!$C94="Annual",'Data Entry'!$B94,(IF(AND('Data Entry'!$C94="One-off in Year X (Specify)",'Data Entry'!$D94=Cashflow!AR$5),'Data Entry'!$B94,0))),0)</f>
        <v>0</v>
      </c>
      <c r="AS61" s="177">
        <f>IF(AS$6&lt;'Data Entry'!$B$12,IF('Data Entry'!$C94="Annual",'Data Entry'!$B94,(IF(AND('Data Entry'!$C94="One-off in Year X (Specify)",'Data Entry'!$D94=Cashflow!AS$5),'Data Entry'!$B94,0))),0)</f>
        <v>0</v>
      </c>
      <c r="AT61" s="177">
        <f>IF(AT$6&lt;'Data Entry'!$B$12,IF('Data Entry'!$C94="Annual",'Data Entry'!$B94,(IF(AND('Data Entry'!$C94="One-off in Year X (Specify)",'Data Entry'!$D94=Cashflow!AT$5),'Data Entry'!$B94,0))),0)</f>
        <v>0</v>
      </c>
      <c r="AU61" s="177">
        <f>IF(AU$6&lt;'Data Entry'!$B$12,IF('Data Entry'!$C94="Annual",'Data Entry'!$B94,(IF(AND('Data Entry'!$C94="One-off in Year X (Specify)",'Data Entry'!$D94=Cashflow!AU$5),'Data Entry'!$B94,0))),0)</f>
        <v>0</v>
      </c>
      <c r="AV61" s="177">
        <f>IF(AV$6&lt;'Data Entry'!$B$12,IF('Data Entry'!$C94="Annual",'Data Entry'!$B94,(IF(AND('Data Entry'!$C94="One-off in Year X (Specify)",'Data Entry'!$D94=Cashflow!AV$5),'Data Entry'!$B94,0))),0)</f>
        <v>0</v>
      </c>
      <c r="AW61" s="177">
        <f>IF(AW$6&lt;'Data Entry'!$B$12,IF('Data Entry'!$C94="Annual",'Data Entry'!$B94,(IF(AND('Data Entry'!$C94="One-off in Year X (Specify)",'Data Entry'!$D94=Cashflow!AW$5),'Data Entry'!$B94,0))),0)</f>
        <v>0</v>
      </c>
      <c r="AX61" s="177">
        <f>IF(AX$6&lt;'Data Entry'!$B$12,IF('Data Entry'!$C94="Annual",'Data Entry'!$B94,(IF(AND('Data Entry'!$C94="One-off in Year X (Specify)",'Data Entry'!$D94=Cashflow!AX$5),'Data Entry'!$B94,0))),0)</f>
        <v>0</v>
      </c>
      <c r="AY61" s="177">
        <f>IF(AY$6&lt;'Data Entry'!$B$12,IF('Data Entry'!$C94="Annual",'Data Entry'!$B94,(IF(AND('Data Entry'!$C94="One-off in Year X (Specify)",'Data Entry'!$D94=Cashflow!AY$5),'Data Entry'!$B94,0))),0)</f>
        <v>0</v>
      </c>
      <c r="AZ61" s="177">
        <f>IF(AZ$6&lt;'Data Entry'!$B$12,IF('Data Entry'!$C94="Annual",'Data Entry'!$B94,(IF(AND('Data Entry'!$C94="One-off in Year X (Specify)",'Data Entry'!$D94=Cashflow!AZ$5),'Data Entry'!$B94,0))),0)</f>
        <v>0</v>
      </c>
      <c r="BA61" s="177">
        <f>IF(BA$6&lt;'Data Entry'!$B$12,IF('Data Entry'!$C94="Annual",'Data Entry'!$B94,(IF(AND('Data Entry'!$C94="One-off in Year X (Specify)",'Data Entry'!$D94=Cashflow!BA$5),'Data Entry'!$B94,0))),0)</f>
        <v>0</v>
      </c>
      <c r="BB61" s="177">
        <f>IF(BB$6&lt;'Data Entry'!$B$12,IF('Data Entry'!$C94="Annual",'Data Entry'!$B94,(IF(AND('Data Entry'!$C94="One-off in Year X (Specify)",'Data Entry'!$D94=Cashflow!BB$5),'Data Entry'!$B94,0))),0)</f>
        <v>0</v>
      </c>
      <c r="BC61" s="177">
        <f>IF(BC$6&lt;'Data Entry'!$B$12,IF('Data Entry'!$C94="Annual",'Data Entry'!$B94,(IF(AND('Data Entry'!$C94="One-off in Year X (Specify)",'Data Entry'!$D94=Cashflow!BC$5),'Data Entry'!$B94,0))),0)</f>
        <v>0</v>
      </c>
      <c r="BD61" s="177">
        <f>IF(BD$6&lt;'Data Entry'!$B$12,IF('Data Entry'!$C94="Annual",'Data Entry'!$B94,(IF(AND('Data Entry'!$C94="One-off in Year X (Specify)",'Data Entry'!$D94=Cashflow!BD$5),'Data Entry'!$B94,0))),0)</f>
        <v>0</v>
      </c>
      <c r="BE61" s="177">
        <f>IF(BE$6&lt;'Data Entry'!$B$12,IF('Data Entry'!$C94="Annual",'Data Entry'!$B94,(IF(AND('Data Entry'!$C94="One-off in Year X (Specify)",'Data Entry'!$D94=Cashflow!BE$5),'Data Entry'!$B94,0))),0)</f>
        <v>0</v>
      </c>
      <c r="BF61" s="177">
        <f>IF(BF$6&lt;'Data Entry'!$B$12,IF('Data Entry'!$C94="Annual",'Data Entry'!$B94,(IF(AND('Data Entry'!$C94="One-off in Year X (Specify)",'Data Entry'!$D94=Cashflow!BF$5),'Data Entry'!$B94,0))),0)</f>
        <v>0</v>
      </c>
      <c r="BG61" s="177">
        <f>IF(BG$6&lt;'Data Entry'!$B$12,IF('Data Entry'!$C94="Annual",'Data Entry'!$B94,(IF(AND('Data Entry'!$C94="One-off in Year X (Specify)",'Data Entry'!$D94=Cashflow!BG$5),'Data Entry'!$B94,0))),0)</f>
        <v>0</v>
      </c>
      <c r="BH61" s="177">
        <f>IF(BH$6&lt;'Data Entry'!$B$12,IF('Data Entry'!$C94="Annual",'Data Entry'!$B94,(IF(AND('Data Entry'!$C94="One-off in Year X (Specify)",'Data Entry'!$D94=Cashflow!BH$5),'Data Entry'!$B94,0))),0)</f>
        <v>0</v>
      </c>
      <c r="BI61" s="177">
        <f>IF(BI$6&lt;'Data Entry'!$B$12,IF('Data Entry'!$C94="Annual",'Data Entry'!$B94,(IF(AND('Data Entry'!$C94="One-off in Year X (Specify)",'Data Entry'!$D94=Cashflow!BI$5),'Data Entry'!$B94,0))),0)</f>
        <v>0</v>
      </c>
      <c r="BJ61" s="177">
        <f>IF(BJ$6&lt;'Data Entry'!$B$12,IF('Data Entry'!$C94="Annual",'Data Entry'!$B94,(IF(AND('Data Entry'!$C94="One-off in Year X (Specify)",'Data Entry'!$D94=Cashflow!BJ$5),'Data Entry'!$B94,0))),0)</f>
        <v>0</v>
      </c>
      <c r="BK61" s="445">
        <f>IF(BK$6&lt;'Data Entry'!$B$12,IF('Data Entry'!$C94="Annual",'Data Entry'!$B94,(IF(AND('Data Entry'!$C94="One-off in Year X (Specify)",'Data Entry'!$D94=Cashflow!BK$5),'Data Entry'!$B94,0))),0)</f>
        <v>0</v>
      </c>
      <c r="BL61" s="177">
        <f>IF(BL$6&lt;'Data Entry'!$B$12,IF('Data Entry'!$C94="Annual",'Data Entry'!$B94,(IF(AND('Data Entry'!$C94="One-off in Year X (Specify)",'Data Entry'!$D94=Cashflow!BL$5),'Data Entry'!$B94,0))),0)</f>
        <v>0</v>
      </c>
      <c r="BM61" s="177">
        <f>IF(BM$6&lt;'Data Entry'!$B$12,IF('Data Entry'!$C94="Annual",'Data Entry'!$B94,(IF(AND('Data Entry'!$C94="One-off in Year X (Specify)",'Data Entry'!$D94=Cashflow!BM$5),'Data Entry'!$B94,0))),0)</f>
        <v>0</v>
      </c>
      <c r="BN61" s="177">
        <f>IF(BN$6&lt;'Data Entry'!$B$12,IF('Data Entry'!$C94="Annual",'Data Entry'!$B94,(IF(AND('Data Entry'!$C94="One-off in Year X (Specify)",'Data Entry'!$D94=Cashflow!BN$5),'Data Entry'!$B94,0))),0)</f>
        <v>0</v>
      </c>
      <c r="BO61" s="177">
        <f>IF(BO$6&lt;'Data Entry'!$B$12,IF('Data Entry'!$C94="Annual",'Data Entry'!$B94,(IF(AND('Data Entry'!$C94="One-off in Year X (Specify)",'Data Entry'!$D94=Cashflow!BO$5),'Data Entry'!$B94,0))),0)</f>
        <v>0</v>
      </c>
      <c r="BP61" s="177">
        <f>IF(BP$6&lt;'Data Entry'!$B$12,IF('Data Entry'!$C94="Annual",'Data Entry'!$B94,(IF(AND('Data Entry'!$C94="One-off in Year X (Specify)",'Data Entry'!$D94=Cashflow!BP$5),'Data Entry'!$B94,0))),0)</f>
        <v>0</v>
      </c>
      <c r="BQ61" s="177">
        <f>IF(BQ$6&lt;'Data Entry'!$B$12,IF('Data Entry'!$C94="Annual",'Data Entry'!$B94,(IF(AND('Data Entry'!$C94="One-off in Year X (Specify)",'Data Entry'!$D94=Cashflow!BQ$5),'Data Entry'!$B94,0))),0)</f>
        <v>0</v>
      </c>
      <c r="BR61" s="177">
        <f>IF(BR$6&lt;'Data Entry'!$B$12,IF('Data Entry'!$C94="Annual",'Data Entry'!$B94,(IF(AND('Data Entry'!$C94="One-off in Year X (Specify)",'Data Entry'!$D94=Cashflow!BR$5),'Data Entry'!$B94,0))),0)</f>
        <v>0</v>
      </c>
      <c r="BS61" s="177">
        <f>IF(BS$6&lt;'Data Entry'!$B$12,IF('Data Entry'!$C94="Annual",'Data Entry'!$B94,(IF(AND('Data Entry'!$C94="One-off in Year X (Specify)",'Data Entry'!$D94=Cashflow!BS$5),'Data Entry'!$B94,0))),0)</f>
        <v>0</v>
      </c>
      <c r="BT61" s="177">
        <f>IF(BT$6&lt;'Data Entry'!$B$12,IF('Data Entry'!$C94="Annual",'Data Entry'!$B94,(IF(AND('Data Entry'!$C94="One-off in Year X (Specify)",'Data Entry'!$D94=Cashflow!BT$5),'Data Entry'!$B94,0))),0)</f>
        <v>0</v>
      </c>
      <c r="BU61" s="177">
        <f>IF(BU$6&lt;'Data Entry'!$B$12,IF('Data Entry'!$C94="Annual",'Data Entry'!$B94,(IF(AND('Data Entry'!$C94="One-off in Year X (Specify)",'Data Entry'!$D94=Cashflow!BU$5),'Data Entry'!$B94,0))),0)</f>
        <v>0</v>
      </c>
      <c r="BV61" s="177">
        <f>IF(BV$6&lt;'Data Entry'!$B$12,IF('Data Entry'!$C94="Annual",'Data Entry'!$B94,(IF(AND('Data Entry'!$C94="One-off in Year X (Specify)",'Data Entry'!$D94=Cashflow!BV$5),'Data Entry'!$B94,0))),0)</f>
        <v>0</v>
      </c>
      <c r="BW61" s="177">
        <f>IF(BW$6&lt;'Data Entry'!$B$12,IF('Data Entry'!$C94="Annual",'Data Entry'!$B94,(IF(AND('Data Entry'!$C94="One-off in Year X (Specify)",'Data Entry'!$D94=Cashflow!BW$5),'Data Entry'!$B94,0))),0)</f>
        <v>0</v>
      </c>
      <c r="BX61" s="177">
        <f>IF(BX$6&lt;'Data Entry'!$B$12,IF('Data Entry'!$C94="Annual",'Data Entry'!$B94,(IF(AND('Data Entry'!$C94="One-off in Year X (Specify)",'Data Entry'!$D94=Cashflow!BX$5),'Data Entry'!$B94,0))),0)</f>
        <v>0</v>
      </c>
      <c r="BY61" s="177">
        <f>IF(BY$6&lt;'Data Entry'!$B$12,IF('Data Entry'!$C94="Annual",'Data Entry'!$B94,(IF(AND('Data Entry'!$C94="One-off in Year X (Specify)",'Data Entry'!$D94=Cashflow!BY$5),'Data Entry'!$B94,0))),0)</f>
        <v>0</v>
      </c>
      <c r="BZ61" s="177">
        <f>IF(BZ$6&lt;'Data Entry'!$B$12,IF('Data Entry'!$C94="Annual",'Data Entry'!$B94,(IF(AND('Data Entry'!$C94="One-off in Year X (Specify)",'Data Entry'!$D94=Cashflow!BZ$5),'Data Entry'!$B94,0))),0)</f>
        <v>0</v>
      </c>
      <c r="CA61" s="445">
        <f>IF(CA$6&lt;'Data Entry'!$B$12,IF('Data Entry'!$C94="Annual",'Data Entry'!$B94,(IF(AND('Data Entry'!$C94="One-off in Year X (Specify)",'Data Entry'!$D94=Cashflow!CA$5),'Data Entry'!$B94,0))),0)</f>
        <v>0</v>
      </c>
      <c r="CB61" s="177">
        <f>IF(CB$6&lt;'Data Entry'!$B$12,IF('Data Entry'!$C94="Annual",'Data Entry'!$B94,(IF(AND('Data Entry'!$C94="One-off in Year X (Specify)",'Data Entry'!$D94=Cashflow!CB$5),'Data Entry'!$B94,0))),0)</f>
        <v>0</v>
      </c>
      <c r="CC61" s="177">
        <f>IF(CC$6&lt;'Data Entry'!$B$12,IF('Data Entry'!$C94="Annual",'Data Entry'!$B94,(IF(AND('Data Entry'!$C94="One-off in Year X (Specify)",'Data Entry'!$D94=Cashflow!CC$5),'Data Entry'!$B94,0))),0)</f>
        <v>0</v>
      </c>
      <c r="CD61" s="177">
        <f>IF(CD$6&lt;'Data Entry'!$B$12,IF('Data Entry'!$C94="Annual",'Data Entry'!$B94,(IF(AND('Data Entry'!$C94="One-off in Year X (Specify)",'Data Entry'!$D94=Cashflow!CD$5),'Data Entry'!$B94,0))),0)</f>
        <v>0</v>
      </c>
      <c r="CE61" s="177">
        <f>IF(CE$6&lt;'Data Entry'!$B$12,IF('Data Entry'!$C94="Annual",'Data Entry'!$B94,(IF(AND('Data Entry'!$C94="One-off in Year X (Specify)",'Data Entry'!$D94=Cashflow!CE$5),'Data Entry'!$B94,0))),0)</f>
        <v>0</v>
      </c>
      <c r="CF61" s="177">
        <f>IF(CF$6&lt;'Data Entry'!$B$12,IF('Data Entry'!$C94="Annual",'Data Entry'!$B94,(IF(AND('Data Entry'!$C94="One-off in Year X (Specify)",'Data Entry'!$D94=Cashflow!CF$5),'Data Entry'!$B94,0))),0)</f>
        <v>0</v>
      </c>
      <c r="CG61" s="177">
        <f>IF(CG$6&lt;'Data Entry'!$B$12,IF('Data Entry'!$C94="Annual",'Data Entry'!$B94,(IF(AND('Data Entry'!$C94="One-off in Year X (Specify)",'Data Entry'!$D94=Cashflow!CG$5),'Data Entry'!$B94,0))),0)</f>
        <v>0</v>
      </c>
      <c r="CH61" s="177">
        <f>IF(CH$6&lt;'Data Entry'!$B$12,IF('Data Entry'!$C94="Annual",'Data Entry'!$B94,(IF(AND('Data Entry'!$C94="One-off in Year X (Specify)",'Data Entry'!$D94=Cashflow!CH$5),'Data Entry'!$B94,0))),0)</f>
        <v>0</v>
      </c>
      <c r="CI61" s="177">
        <f>IF(CI$6&lt;'Data Entry'!$B$12,IF('Data Entry'!$C94="Annual",'Data Entry'!$B94,(IF(AND('Data Entry'!$C94="One-off in Year X (Specify)",'Data Entry'!$D94=Cashflow!CI$5),'Data Entry'!$B94,0))),0)</f>
        <v>0</v>
      </c>
      <c r="CJ61" s="177">
        <f>IF(CJ$6&lt;'Data Entry'!$B$12,IF('Data Entry'!$C94="Annual",'Data Entry'!$B94,(IF(AND('Data Entry'!$C94="One-off in Year X (Specify)",'Data Entry'!$D94=Cashflow!CJ$5),'Data Entry'!$B94,0))),0)</f>
        <v>0</v>
      </c>
      <c r="CK61" s="177">
        <f>IF(CK$6&lt;'Data Entry'!$B$12,IF('Data Entry'!$C94="Annual",'Data Entry'!$B94,(IF(AND('Data Entry'!$C94="One-off in Year X (Specify)",'Data Entry'!$D94=Cashflow!CK$5),'Data Entry'!$B94,0))),0)</f>
        <v>0</v>
      </c>
      <c r="CL61" s="177">
        <f>IF(CL$6&lt;'Data Entry'!$B$12,IF('Data Entry'!$C94="Annual",'Data Entry'!$B94,(IF(AND('Data Entry'!$C94="One-off in Year X (Specify)",'Data Entry'!$D94=Cashflow!CL$5),'Data Entry'!$B94,0))),0)</f>
        <v>0</v>
      </c>
      <c r="CM61" s="177">
        <f>IF(CM$6&lt;'Data Entry'!$B$12,IF('Data Entry'!$C94="Annual",'Data Entry'!$B94,(IF(AND('Data Entry'!$C94="One-off in Year X (Specify)",'Data Entry'!$D94=Cashflow!CM$5),'Data Entry'!$B94,0))),0)</f>
        <v>0</v>
      </c>
      <c r="CN61" s="177">
        <f>IF(CN$6&lt;'Data Entry'!$B$12,IF('Data Entry'!$C94="Annual",'Data Entry'!$B94,(IF(AND('Data Entry'!$C94="One-off in Year X (Specify)",'Data Entry'!$D94=Cashflow!CN$5),'Data Entry'!$B94,0))),0)</f>
        <v>0</v>
      </c>
      <c r="CO61" s="177">
        <f>IF(CO$6&lt;'Data Entry'!$B$12,IF('Data Entry'!$C94="Annual",'Data Entry'!$B94,(IF(AND('Data Entry'!$C94="One-off in Year X (Specify)",'Data Entry'!$D94=Cashflow!CO$5),'Data Entry'!$B94,0))),0)</f>
        <v>0</v>
      </c>
      <c r="CP61" s="177">
        <f>IF(CP$6&lt;'Data Entry'!$B$12,IF('Data Entry'!$C94="Annual",'Data Entry'!$B94,(IF(AND('Data Entry'!$C94="One-off in Year X (Specify)",'Data Entry'!$D94=Cashflow!CP$5),'Data Entry'!$B94,0))),0)</f>
        <v>0</v>
      </c>
      <c r="CQ61" s="177">
        <f>IF(CQ$6&lt;'Data Entry'!$B$12,IF('Data Entry'!$C94="Annual",'Data Entry'!$B94,(IF(AND('Data Entry'!$C94="One-off in Year X (Specify)",'Data Entry'!$D94=Cashflow!CQ$5),'Data Entry'!$B94,0))),0)</f>
        <v>0</v>
      </c>
      <c r="CR61" s="177">
        <f>IF(CR$6&lt;'Data Entry'!$B$12,IF('Data Entry'!$C94="Annual",'Data Entry'!$B94,(IF(AND('Data Entry'!$C94="One-off in Year X (Specify)",'Data Entry'!$D94=Cashflow!CR$5),'Data Entry'!$B94,0))),0)</f>
        <v>0</v>
      </c>
      <c r="CS61" s="177">
        <f>IF(CS$6&lt;'Data Entry'!$B$12,IF('Data Entry'!$C94="Annual",'Data Entry'!$B94,(IF(AND('Data Entry'!$C94="One-off in Year X (Specify)",'Data Entry'!$D94=Cashflow!CS$5),'Data Entry'!$B94,0))),0)</f>
        <v>0</v>
      </c>
      <c r="CT61" s="177">
        <f>IF(CT$6&lt;'Data Entry'!$B$12,IF('Data Entry'!$C94="Annual",'Data Entry'!$B94,(IF(AND('Data Entry'!$C94="One-off in Year X (Specify)",'Data Entry'!$D94=Cashflow!CT$5),'Data Entry'!$B94,0))),0)</f>
        <v>0</v>
      </c>
      <c r="CU61" s="177">
        <f>IF(CU$6&lt;'Data Entry'!$B$12,IF('Data Entry'!$C94="Annual",'Data Entry'!$B94,(IF(AND('Data Entry'!$C94="One-off in Year X (Specify)",'Data Entry'!$D94=Cashflow!CU$5),'Data Entry'!$B94,0))),0)</f>
        <v>0</v>
      </c>
      <c r="CV61" s="177">
        <f>IF(CV$6&lt;'Data Entry'!$B$12,IF('Data Entry'!$C94="Annual",'Data Entry'!$B94,(IF(AND('Data Entry'!$C94="One-off in Year X (Specify)",'Data Entry'!$D94=Cashflow!CV$5),'Data Entry'!$B94,0))),0)</f>
        <v>0</v>
      </c>
      <c r="CW61" s="177">
        <f>IF(CW$6&lt;'Data Entry'!$B$12,IF('Data Entry'!$C94="Annual",'Data Entry'!$B94,(IF(AND('Data Entry'!$C94="One-off in Year X (Specify)",'Data Entry'!$D94=Cashflow!CW$5),'Data Entry'!$B94,0))),0)</f>
        <v>0</v>
      </c>
      <c r="CX61" s="177">
        <f>IF(CX$6&lt;'Data Entry'!$B$12,IF('Data Entry'!$C94="Annual",'Data Entry'!$B94,(IF(AND('Data Entry'!$C94="One-off in Year X (Specify)",'Data Entry'!$D94=Cashflow!CX$5),'Data Entry'!$B94,0))),0)</f>
        <v>0</v>
      </c>
      <c r="CY61" s="177">
        <f>IF(CY$6&lt;'Data Entry'!$B$12,IF('Data Entry'!$C94="Annual",'Data Entry'!$B94,(IF(AND('Data Entry'!$C94="One-off in Year X (Specify)",'Data Entry'!$D94=Cashflow!CY$5),'Data Entry'!$B94,0))),0)</f>
        <v>0</v>
      </c>
    </row>
    <row r="62" spans="1:103" ht="15" customHeight="1" thickBot="1" x14ac:dyDescent="0.25">
      <c r="A62" s="41" t="s">
        <v>4</v>
      </c>
      <c r="B62" s="42"/>
      <c r="C62" s="293">
        <f ca="1">SUM(C54:C61)</f>
        <v>0</v>
      </c>
      <c r="D62" s="291">
        <f>SUM(D54:D61)</f>
        <v>0</v>
      </c>
      <c r="E62" s="291">
        <f t="shared" ref="E62:AH62" ca="1" si="17">SUM(E54:E61)</f>
        <v>0</v>
      </c>
      <c r="F62" s="291">
        <f t="shared" ca="1" si="17"/>
        <v>0</v>
      </c>
      <c r="G62" s="291">
        <f t="shared" ca="1" si="17"/>
        <v>0</v>
      </c>
      <c r="H62" s="291">
        <f t="shared" ca="1" si="17"/>
        <v>0</v>
      </c>
      <c r="I62" s="291">
        <f t="shared" ca="1" si="17"/>
        <v>0</v>
      </c>
      <c r="J62" s="291">
        <f t="shared" ca="1" si="17"/>
        <v>0</v>
      </c>
      <c r="K62" s="291">
        <f t="shared" ca="1" si="17"/>
        <v>0</v>
      </c>
      <c r="L62" s="291">
        <f t="shared" ca="1" si="17"/>
        <v>0</v>
      </c>
      <c r="M62" s="291">
        <f t="shared" ca="1" si="17"/>
        <v>0</v>
      </c>
      <c r="N62" s="291">
        <f t="shared" ca="1" si="17"/>
        <v>0</v>
      </c>
      <c r="O62" s="291">
        <f t="shared" ca="1" si="17"/>
        <v>0</v>
      </c>
      <c r="P62" s="291">
        <f t="shared" ca="1" si="17"/>
        <v>0</v>
      </c>
      <c r="Q62" s="291">
        <f t="shared" ca="1" si="17"/>
        <v>0</v>
      </c>
      <c r="R62" s="291">
        <f t="shared" ca="1" si="17"/>
        <v>0</v>
      </c>
      <c r="S62" s="291">
        <f t="shared" ca="1" si="17"/>
        <v>0</v>
      </c>
      <c r="T62" s="291">
        <f t="shared" ca="1" si="17"/>
        <v>0</v>
      </c>
      <c r="U62" s="291">
        <f t="shared" ca="1" si="17"/>
        <v>0</v>
      </c>
      <c r="V62" s="291">
        <f t="shared" ca="1" si="17"/>
        <v>0</v>
      </c>
      <c r="W62" s="291">
        <f t="shared" ca="1" si="17"/>
        <v>0</v>
      </c>
      <c r="X62" s="291">
        <f t="shared" ca="1" si="17"/>
        <v>0</v>
      </c>
      <c r="Y62" s="291">
        <f t="shared" ca="1" si="17"/>
        <v>0</v>
      </c>
      <c r="Z62" s="291">
        <f t="shared" ca="1" si="17"/>
        <v>0</v>
      </c>
      <c r="AA62" s="291">
        <f t="shared" ca="1" si="17"/>
        <v>0</v>
      </c>
      <c r="AB62" s="291">
        <f t="shared" ca="1" si="17"/>
        <v>0</v>
      </c>
      <c r="AC62" s="291">
        <f t="shared" ca="1" si="17"/>
        <v>0</v>
      </c>
      <c r="AD62" s="291">
        <f t="shared" ca="1" si="17"/>
        <v>0</v>
      </c>
      <c r="AE62" s="291">
        <f t="shared" ca="1" si="17"/>
        <v>0</v>
      </c>
      <c r="AF62" s="291">
        <f t="shared" ca="1" si="17"/>
        <v>0</v>
      </c>
      <c r="AG62" s="291">
        <f t="shared" ca="1" si="17"/>
        <v>0</v>
      </c>
      <c r="AH62" s="291">
        <f t="shared" ca="1" si="17"/>
        <v>0</v>
      </c>
      <c r="AI62" s="291">
        <f t="shared" ref="AI62:BN62" ca="1" si="18">SUM(AI54:AI61)</f>
        <v>0</v>
      </c>
      <c r="AJ62" s="291">
        <f t="shared" ca="1" si="18"/>
        <v>0</v>
      </c>
      <c r="AK62" s="291">
        <f t="shared" ca="1" si="18"/>
        <v>0</v>
      </c>
      <c r="AL62" s="291">
        <f t="shared" ca="1" si="18"/>
        <v>0</v>
      </c>
      <c r="AM62" s="291">
        <f t="shared" ca="1" si="18"/>
        <v>0</v>
      </c>
      <c r="AN62" s="291">
        <f t="shared" ca="1" si="18"/>
        <v>0</v>
      </c>
      <c r="AO62" s="292">
        <f t="shared" ca="1" si="18"/>
        <v>0</v>
      </c>
      <c r="AP62" s="291">
        <f t="shared" ca="1" si="18"/>
        <v>0</v>
      </c>
      <c r="AQ62" s="291">
        <f t="shared" ca="1" si="18"/>
        <v>0</v>
      </c>
      <c r="AR62" s="291">
        <f t="shared" ca="1" si="18"/>
        <v>0</v>
      </c>
      <c r="AS62" s="291">
        <f t="shared" ca="1" si="18"/>
        <v>0</v>
      </c>
      <c r="AT62" s="291">
        <f t="shared" ca="1" si="18"/>
        <v>0</v>
      </c>
      <c r="AU62" s="291">
        <f t="shared" ca="1" si="18"/>
        <v>0</v>
      </c>
      <c r="AV62" s="291">
        <f t="shared" ca="1" si="18"/>
        <v>0</v>
      </c>
      <c r="AW62" s="291">
        <f t="shared" ca="1" si="18"/>
        <v>0</v>
      </c>
      <c r="AX62" s="291">
        <f t="shared" ca="1" si="18"/>
        <v>0</v>
      </c>
      <c r="AY62" s="291">
        <f t="shared" ca="1" si="18"/>
        <v>0</v>
      </c>
      <c r="AZ62" s="291">
        <f t="shared" ca="1" si="18"/>
        <v>0</v>
      </c>
      <c r="BA62" s="291">
        <f t="shared" ca="1" si="18"/>
        <v>0</v>
      </c>
      <c r="BB62" s="291">
        <f t="shared" ca="1" si="18"/>
        <v>0</v>
      </c>
      <c r="BC62" s="291">
        <f t="shared" ca="1" si="18"/>
        <v>0</v>
      </c>
      <c r="BD62" s="291">
        <f t="shared" ca="1" si="18"/>
        <v>0</v>
      </c>
      <c r="BE62" s="291">
        <f t="shared" ca="1" si="18"/>
        <v>0</v>
      </c>
      <c r="BF62" s="291">
        <f t="shared" ca="1" si="18"/>
        <v>0</v>
      </c>
      <c r="BG62" s="291">
        <f t="shared" ca="1" si="18"/>
        <v>0</v>
      </c>
      <c r="BH62" s="291">
        <f t="shared" ca="1" si="18"/>
        <v>0</v>
      </c>
      <c r="BI62" s="291">
        <f t="shared" ca="1" si="18"/>
        <v>0</v>
      </c>
      <c r="BJ62" s="291">
        <f t="shared" ca="1" si="18"/>
        <v>0</v>
      </c>
      <c r="BK62" s="292">
        <f t="shared" ca="1" si="18"/>
        <v>0</v>
      </c>
      <c r="BL62" s="291">
        <f t="shared" ca="1" si="18"/>
        <v>0</v>
      </c>
      <c r="BM62" s="291">
        <f t="shared" ca="1" si="18"/>
        <v>0</v>
      </c>
      <c r="BN62" s="291">
        <f t="shared" ca="1" si="18"/>
        <v>0</v>
      </c>
      <c r="BO62" s="291">
        <f t="shared" ref="BO62:CT62" ca="1" si="19">SUM(BO54:BO61)</f>
        <v>0</v>
      </c>
      <c r="BP62" s="291">
        <f t="shared" ca="1" si="19"/>
        <v>0</v>
      </c>
      <c r="BQ62" s="291">
        <f t="shared" ca="1" si="19"/>
        <v>0</v>
      </c>
      <c r="BR62" s="291">
        <f t="shared" ca="1" si="19"/>
        <v>0</v>
      </c>
      <c r="BS62" s="291">
        <f t="shared" ca="1" si="19"/>
        <v>0</v>
      </c>
      <c r="BT62" s="291">
        <f t="shared" ca="1" si="19"/>
        <v>0</v>
      </c>
      <c r="BU62" s="291">
        <f t="shared" ca="1" si="19"/>
        <v>0</v>
      </c>
      <c r="BV62" s="291">
        <f t="shared" ca="1" si="19"/>
        <v>0</v>
      </c>
      <c r="BW62" s="291">
        <f t="shared" ca="1" si="19"/>
        <v>0</v>
      </c>
      <c r="BX62" s="291">
        <f t="shared" ca="1" si="19"/>
        <v>0</v>
      </c>
      <c r="BY62" s="291">
        <f t="shared" ca="1" si="19"/>
        <v>0</v>
      </c>
      <c r="BZ62" s="291">
        <f t="shared" ca="1" si="19"/>
        <v>0</v>
      </c>
      <c r="CA62" s="292">
        <f t="shared" ca="1" si="19"/>
        <v>0</v>
      </c>
      <c r="CB62" s="291">
        <f t="shared" ca="1" si="19"/>
        <v>0</v>
      </c>
      <c r="CC62" s="291">
        <f t="shared" ca="1" si="19"/>
        <v>0</v>
      </c>
      <c r="CD62" s="291">
        <f t="shared" ca="1" si="19"/>
        <v>0</v>
      </c>
      <c r="CE62" s="291">
        <f t="shared" ca="1" si="19"/>
        <v>0</v>
      </c>
      <c r="CF62" s="291">
        <f t="shared" ca="1" si="19"/>
        <v>0</v>
      </c>
      <c r="CG62" s="291">
        <f t="shared" ca="1" si="19"/>
        <v>0</v>
      </c>
      <c r="CH62" s="291">
        <f t="shared" ca="1" si="19"/>
        <v>0</v>
      </c>
      <c r="CI62" s="291">
        <f t="shared" ca="1" si="19"/>
        <v>0</v>
      </c>
      <c r="CJ62" s="291">
        <f t="shared" ca="1" si="19"/>
        <v>0</v>
      </c>
      <c r="CK62" s="291">
        <f t="shared" ca="1" si="19"/>
        <v>0</v>
      </c>
      <c r="CL62" s="291">
        <f t="shared" ca="1" si="19"/>
        <v>0</v>
      </c>
      <c r="CM62" s="291">
        <f t="shared" ca="1" si="19"/>
        <v>0</v>
      </c>
      <c r="CN62" s="291">
        <f t="shared" ca="1" si="19"/>
        <v>0</v>
      </c>
      <c r="CO62" s="291">
        <f t="shared" ca="1" si="19"/>
        <v>0</v>
      </c>
      <c r="CP62" s="291">
        <f t="shared" ca="1" si="19"/>
        <v>0</v>
      </c>
      <c r="CQ62" s="291">
        <f t="shared" ca="1" si="19"/>
        <v>0</v>
      </c>
      <c r="CR62" s="291">
        <f t="shared" ca="1" si="19"/>
        <v>0</v>
      </c>
      <c r="CS62" s="291">
        <f t="shared" ca="1" si="19"/>
        <v>0</v>
      </c>
      <c r="CT62" s="291">
        <f t="shared" ca="1" si="19"/>
        <v>0</v>
      </c>
      <c r="CU62" s="291">
        <f ca="1">SUM(CU54:CU61)</f>
        <v>0</v>
      </c>
      <c r="CV62" s="291">
        <f ca="1">SUM(CV54:CV61)</f>
        <v>0</v>
      </c>
      <c r="CW62" s="291">
        <f ca="1">SUM(CW54:CW61)</f>
        <v>0</v>
      </c>
      <c r="CX62" s="291">
        <f ca="1">SUM(CX54:CX61)</f>
        <v>0</v>
      </c>
      <c r="CY62" s="291">
        <f ca="1">SUM(CY54:CY61)</f>
        <v>0</v>
      </c>
    </row>
    <row r="63" spans="1:103" s="468" customFormat="1" ht="15" customHeight="1" thickTop="1" thickBot="1" x14ac:dyDescent="0.25">
      <c r="A63" s="116" t="s">
        <v>8</v>
      </c>
      <c r="B63" s="117"/>
      <c r="C63" s="296">
        <f ca="1">SUM(C53,C62)</f>
        <v>0</v>
      </c>
      <c r="D63" s="297">
        <f>SUM(D53,D62)</f>
        <v>0</v>
      </c>
      <c r="E63" s="297">
        <f t="shared" ref="E63:AH63" ca="1" si="20">SUM(E53,E62)</f>
        <v>0</v>
      </c>
      <c r="F63" s="297">
        <f t="shared" ca="1" si="20"/>
        <v>0</v>
      </c>
      <c r="G63" s="297">
        <f t="shared" ca="1" si="20"/>
        <v>0</v>
      </c>
      <c r="H63" s="297">
        <f t="shared" ca="1" si="20"/>
        <v>0</v>
      </c>
      <c r="I63" s="297">
        <f t="shared" ca="1" si="20"/>
        <v>0</v>
      </c>
      <c r="J63" s="297">
        <f t="shared" ca="1" si="20"/>
        <v>0</v>
      </c>
      <c r="K63" s="297">
        <f t="shared" ca="1" si="20"/>
        <v>0</v>
      </c>
      <c r="L63" s="297">
        <f t="shared" ca="1" si="20"/>
        <v>0</v>
      </c>
      <c r="M63" s="297">
        <f t="shared" ca="1" si="20"/>
        <v>0</v>
      </c>
      <c r="N63" s="297">
        <f t="shared" ca="1" si="20"/>
        <v>0</v>
      </c>
      <c r="O63" s="297">
        <f t="shared" ca="1" si="20"/>
        <v>0</v>
      </c>
      <c r="P63" s="297">
        <f t="shared" ca="1" si="20"/>
        <v>0</v>
      </c>
      <c r="Q63" s="297">
        <f t="shared" ca="1" si="20"/>
        <v>0</v>
      </c>
      <c r="R63" s="297">
        <f t="shared" ca="1" si="20"/>
        <v>0</v>
      </c>
      <c r="S63" s="297">
        <f t="shared" ca="1" si="20"/>
        <v>0</v>
      </c>
      <c r="T63" s="297">
        <f t="shared" ca="1" si="20"/>
        <v>0</v>
      </c>
      <c r="U63" s="297">
        <f t="shared" ca="1" si="20"/>
        <v>0</v>
      </c>
      <c r="V63" s="297">
        <f t="shared" ca="1" si="20"/>
        <v>0</v>
      </c>
      <c r="W63" s="297">
        <f t="shared" ca="1" si="20"/>
        <v>0</v>
      </c>
      <c r="X63" s="297">
        <f t="shared" ca="1" si="20"/>
        <v>0</v>
      </c>
      <c r="Y63" s="297">
        <f t="shared" ca="1" si="20"/>
        <v>0</v>
      </c>
      <c r="Z63" s="297">
        <f t="shared" ca="1" si="20"/>
        <v>0</v>
      </c>
      <c r="AA63" s="297">
        <f t="shared" ca="1" si="20"/>
        <v>0</v>
      </c>
      <c r="AB63" s="297">
        <f t="shared" ca="1" si="20"/>
        <v>0</v>
      </c>
      <c r="AC63" s="297">
        <f t="shared" ca="1" si="20"/>
        <v>0</v>
      </c>
      <c r="AD63" s="297">
        <f t="shared" ca="1" si="20"/>
        <v>0</v>
      </c>
      <c r="AE63" s="297">
        <f t="shared" ca="1" si="20"/>
        <v>0</v>
      </c>
      <c r="AF63" s="297">
        <f t="shared" ca="1" si="20"/>
        <v>0</v>
      </c>
      <c r="AG63" s="297">
        <f t="shared" ca="1" si="20"/>
        <v>0</v>
      </c>
      <c r="AH63" s="297">
        <f t="shared" ca="1" si="20"/>
        <v>0</v>
      </c>
      <c r="AI63" s="297">
        <f t="shared" ref="AI63:BN63" ca="1" si="21">SUM(AI53,AI62)</f>
        <v>0</v>
      </c>
      <c r="AJ63" s="297">
        <f t="shared" ca="1" si="21"/>
        <v>0</v>
      </c>
      <c r="AK63" s="297">
        <f t="shared" ca="1" si="21"/>
        <v>0</v>
      </c>
      <c r="AL63" s="297">
        <f t="shared" ca="1" si="21"/>
        <v>0</v>
      </c>
      <c r="AM63" s="297">
        <f t="shared" ca="1" si="21"/>
        <v>0</v>
      </c>
      <c r="AN63" s="297">
        <f t="shared" ca="1" si="21"/>
        <v>0</v>
      </c>
      <c r="AO63" s="298">
        <f t="shared" ca="1" si="21"/>
        <v>0</v>
      </c>
      <c r="AP63" s="297">
        <f t="shared" ca="1" si="21"/>
        <v>0</v>
      </c>
      <c r="AQ63" s="297">
        <f t="shared" ca="1" si="21"/>
        <v>0</v>
      </c>
      <c r="AR63" s="297">
        <f t="shared" ca="1" si="21"/>
        <v>0</v>
      </c>
      <c r="AS63" s="297">
        <f t="shared" ca="1" si="21"/>
        <v>0</v>
      </c>
      <c r="AT63" s="297">
        <f t="shared" ca="1" si="21"/>
        <v>0</v>
      </c>
      <c r="AU63" s="297">
        <f t="shared" ca="1" si="21"/>
        <v>0</v>
      </c>
      <c r="AV63" s="297">
        <f t="shared" ca="1" si="21"/>
        <v>0</v>
      </c>
      <c r="AW63" s="297">
        <f t="shared" ca="1" si="21"/>
        <v>0</v>
      </c>
      <c r="AX63" s="297">
        <f t="shared" ca="1" si="21"/>
        <v>0</v>
      </c>
      <c r="AY63" s="297">
        <f t="shared" ca="1" si="21"/>
        <v>0</v>
      </c>
      <c r="AZ63" s="297">
        <f t="shared" ca="1" si="21"/>
        <v>0</v>
      </c>
      <c r="BA63" s="297">
        <f t="shared" ca="1" si="21"/>
        <v>0</v>
      </c>
      <c r="BB63" s="297">
        <f t="shared" ca="1" si="21"/>
        <v>0</v>
      </c>
      <c r="BC63" s="297">
        <f t="shared" ca="1" si="21"/>
        <v>0</v>
      </c>
      <c r="BD63" s="297">
        <f t="shared" ca="1" si="21"/>
        <v>0</v>
      </c>
      <c r="BE63" s="297">
        <f t="shared" ca="1" si="21"/>
        <v>0</v>
      </c>
      <c r="BF63" s="297">
        <f t="shared" ca="1" si="21"/>
        <v>0</v>
      </c>
      <c r="BG63" s="297">
        <f t="shared" ca="1" si="21"/>
        <v>0</v>
      </c>
      <c r="BH63" s="297">
        <f t="shared" ca="1" si="21"/>
        <v>0</v>
      </c>
      <c r="BI63" s="297">
        <f t="shared" ca="1" si="21"/>
        <v>0</v>
      </c>
      <c r="BJ63" s="297">
        <f t="shared" ca="1" si="21"/>
        <v>0</v>
      </c>
      <c r="BK63" s="298">
        <f t="shared" ca="1" si="21"/>
        <v>0</v>
      </c>
      <c r="BL63" s="297">
        <f t="shared" ca="1" si="21"/>
        <v>0</v>
      </c>
      <c r="BM63" s="297">
        <f t="shared" ca="1" si="21"/>
        <v>0</v>
      </c>
      <c r="BN63" s="297">
        <f t="shared" ca="1" si="21"/>
        <v>0</v>
      </c>
      <c r="BO63" s="297">
        <f t="shared" ref="BO63:CT63" ca="1" si="22">SUM(BO53,BO62)</f>
        <v>0</v>
      </c>
      <c r="BP63" s="297">
        <f t="shared" ca="1" si="22"/>
        <v>0</v>
      </c>
      <c r="BQ63" s="297">
        <f t="shared" ca="1" si="22"/>
        <v>0</v>
      </c>
      <c r="BR63" s="297">
        <f t="shared" ca="1" si="22"/>
        <v>0</v>
      </c>
      <c r="BS63" s="297">
        <f t="shared" ca="1" si="22"/>
        <v>0</v>
      </c>
      <c r="BT63" s="297">
        <f t="shared" ca="1" si="22"/>
        <v>0</v>
      </c>
      <c r="BU63" s="297">
        <f t="shared" ca="1" si="22"/>
        <v>0</v>
      </c>
      <c r="BV63" s="297">
        <f t="shared" ca="1" si="22"/>
        <v>0</v>
      </c>
      <c r="BW63" s="297">
        <f t="shared" ca="1" si="22"/>
        <v>0</v>
      </c>
      <c r="BX63" s="297">
        <f t="shared" ca="1" si="22"/>
        <v>0</v>
      </c>
      <c r="BY63" s="297">
        <f t="shared" ca="1" si="22"/>
        <v>0</v>
      </c>
      <c r="BZ63" s="297">
        <f t="shared" ca="1" si="22"/>
        <v>0</v>
      </c>
      <c r="CA63" s="298">
        <f t="shared" ca="1" si="22"/>
        <v>0</v>
      </c>
      <c r="CB63" s="297">
        <f t="shared" ca="1" si="22"/>
        <v>0</v>
      </c>
      <c r="CC63" s="297">
        <f t="shared" ca="1" si="22"/>
        <v>0</v>
      </c>
      <c r="CD63" s="297">
        <f t="shared" ca="1" si="22"/>
        <v>0</v>
      </c>
      <c r="CE63" s="297">
        <f t="shared" ca="1" si="22"/>
        <v>0</v>
      </c>
      <c r="CF63" s="297">
        <f t="shared" ca="1" si="22"/>
        <v>0</v>
      </c>
      <c r="CG63" s="297">
        <f t="shared" ca="1" si="22"/>
        <v>0</v>
      </c>
      <c r="CH63" s="297">
        <f t="shared" ca="1" si="22"/>
        <v>0</v>
      </c>
      <c r="CI63" s="297">
        <f t="shared" ca="1" si="22"/>
        <v>0</v>
      </c>
      <c r="CJ63" s="297">
        <f t="shared" ca="1" si="22"/>
        <v>0</v>
      </c>
      <c r="CK63" s="297">
        <f t="shared" ca="1" si="22"/>
        <v>0</v>
      </c>
      <c r="CL63" s="297">
        <f t="shared" ca="1" si="22"/>
        <v>0</v>
      </c>
      <c r="CM63" s="297">
        <f t="shared" ca="1" si="22"/>
        <v>0</v>
      </c>
      <c r="CN63" s="297">
        <f t="shared" ca="1" si="22"/>
        <v>0</v>
      </c>
      <c r="CO63" s="297">
        <f t="shared" ca="1" si="22"/>
        <v>0</v>
      </c>
      <c r="CP63" s="297">
        <f t="shared" ca="1" si="22"/>
        <v>0</v>
      </c>
      <c r="CQ63" s="297">
        <f t="shared" ca="1" si="22"/>
        <v>0</v>
      </c>
      <c r="CR63" s="297">
        <f t="shared" ca="1" si="22"/>
        <v>0</v>
      </c>
      <c r="CS63" s="297">
        <f t="shared" ca="1" si="22"/>
        <v>0</v>
      </c>
      <c r="CT63" s="297">
        <f t="shared" ca="1" si="22"/>
        <v>0</v>
      </c>
      <c r="CU63" s="297">
        <f ca="1">SUM(CU53,CU62)</f>
        <v>0</v>
      </c>
      <c r="CV63" s="297">
        <f ca="1">SUM(CV53,CV62)</f>
        <v>0</v>
      </c>
      <c r="CW63" s="297">
        <f ca="1">SUM(CW53,CW62)</f>
        <v>0</v>
      </c>
      <c r="CX63" s="297">
        <f ca="1">SUM(CX53,CX62)</f>
        <v>0</v>
      </c>
      <c r="CY63" s="297">
        <f ca="1">SUM(CY53,CY62)</f>
        <v>0</v>
      </c>
    </row>
    <row r="64" spans="1:103" ht="15" customHeight="1" x14ac:dyDescent="0.2">
      <c r="A64" s="48"/>
      <c r="B64" s="49"/>
      <c r="C64" s="271"/>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149"/>
      <c r="AP64" s="4"/>
      <c r="AQ64" s="4"/>
      <c r="AR64" s="4"/>
      <c r="AS64" s="4"/>
      <c r="AT64" s="4"/>
      <c r="AU64" s="4"/>
      <c r="AV64" s="4"/>
      <c r="AW64" s="4"/>
      <c r="AX64" s="4"/>
      <c r="AY64" s="4"/>
      <c r="AZ64" s="4"/>
      <c r="BA64" s="4"/>
      <c r="BB64" s="4"/>
      <c r="BC64" s="4"/>
      <c r="BD64" s="4"/>
      <c r="BE64" s="4"/>
      <c r="BF64" s="4"/>
      <c r="BG64" s="4"/>
      <c r="BH64" s="4"/>
      <c r="BI64" s="4"/>
      <c r="BJ64" s="4"/>
      <c r="BK64" s="149"/>
      <c r="BL64" s="4"/>
      <c r="BM64" s="4"/>
      <c r="BN64" s="4"/>
      <c r="BO64" s="4"/>
      <c r="BP64" s="4"/>
      <c r="BQ64" s="4"/>
      <c r="BR64" s="4"/>
      <c r="BS64" s="4"/>
      <c r="BT64" s="4"/>
      <c r="BU64" s="4"/>
      <c r="BV64" s="4"/>
      <c r="BW64" s="4"/>
      <c r="BX64" s="4"/>
      <c r="BY64" s="4"/>
      <c r="BZ64" s="4"/>
      <c r="CA64" s="149"/>
      <c r="CB64" s="4"/>
      <c r="CC64" s="4"/>
      <c r="CD64" s="4"/>
      <c r="CE64" s="4"/>
      <c r="CF64" s="4"/>
      <c r="CG64" s="4"/>
      <c r="CH64" s="4"/>
      <c r="CI64" s="4"/>
      <c r="CJ64" s="4"/>
      <c r="CK64" s="4"/>
      <c r="CL64" s="4"/>
      <c r="CM64" s="4"/>
      <c r="CN64" s="4"/>
      <c r="CO64" s="4"/>
      <c r="CP64" s="4"/>
      <c r="CQ64" s="4"/>
      <c r="CR64" s="4"/>
      <c r="CS64" s="4"/>
      <c r="CT64" s="4"/>
      <c r="CU64" s="4"/>
      <c r="CV64" s="4"/>
      <c r="CW64" s="4"/>
      <c r="CX64" s="4"/>
      <c r="CY64" s="4"/>
    </row>
    <row r="65" spans="1:103" ht="15" customHeight="1" x14ac:dyDescent="0.2">
      <c r="A65" s="301" t="s">
        <v>73</v>
      </c>
      <c r="B65" s="49"/>
      <c r="C65" s="271"/>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149"/>
      <c r="AP65" s="4"/>
      <c r="AQ65" s="4"/>
      <c r="AR65" s="4"/>
      <c r="AS65" s="4"/>
      <c r="AT65" s="4"/>
      <c r="AU65" s="4"/>
      <c r="AV65" s="4"/>
      <c r="AW65" s="4"/>
      <c r="AX65" s="4"/>
      <c r="AY65" s="4"/>
      <c r="AZ65" s="4"/>
      <c r="BA65" s="4"/>
      <c r="BB65" s="4"/>
      <c r="BC65" s="4"/>
      <c r="BD65" s="4"/>
      <c r="BE65" s="4"/>
      <c r="BF65" s="4"/>
      <c r="BG65" s="4"/>
      <c r="BH65" s="4"/>
      <c r="BI65" s="4"/>
      <c r="BJ65" s="4"/>
      <c r="BK65" s="149"/>
      <c r="BL65" s="4"/>
      <c r="BM65" s="4"/>
      <c r="BN65" s="4"/>
      <c r="BO65" s="4"/>
      <c r="BP65" s="4"/>
      <c r="BQ65" s="4"/>
      <c r="BR65" s="4"/>
      <c r="BS65" s="4"/>
      <c r="BT65" s="4"/>
      <c r="BU65" s="4"/>
      <c r="BV65" s="4"/>
      <c r="BW65" s="4"/>
      <c r="BX65" s="4"/>
      <c r="BY65" s="4"/>
      <c r="BZ65" s="4"/>
      <c r="CA65" s="149"/>
      <c r="CB65" s="4"/>
      <c r="CC65" s="4"/>
      <c r="CD65" s="4"/>
      <c r="CE65" s="4"/>
      <c r="CF65" s="4"/>
      <c r="CG65" s="4"/>
      <c r="CH65" s="4"/>
      <c r="CI65" s="4"/>
      <c r="CJ65" s="4"/>
      <c r="CK65" s="4"/>
      <c r="CL65" s="4"/>
      <c r="CM65" s="4"/>
      <c r="CN65" s="4"/>
      <c r="CO65" s="4"/>
      <c r="CP65" s="4"/>
      <c r="CQ65" s="4"/>
      <c r="CR65" s="4"/>
      <c r="CS65" s="4"/>
      <c r="CT65" s="4"/>
      <c r="CU65" s="4"/>
      <c r="CV65" s="4"/>
      <c r="CW65" s="4"/>
      <c r="CX65" s="4"/>
      <c r="CY65" s="4"/>
    </row>
    <row r="66" spans="1:103" ht="15" customHeight="1" thickBot="1" x14ac:dyDescent="0.25">
      <c r="A66" s="48"/>
      <c r="B66" s="49"/>
      <c r="C66" s="271"/>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149"/>
      <c r="AP66" s="4"/>
      <c r="AQ66" s="4"/>
      <c r="AR66" s="4"/>
      <c r="AS66" s="4"/>
      <c r="AT66" s="4"/>
      <c r="AU66" s="4"/>
      <c r="AV66" s="4"/>
      <c r="AW66" s="4"/>
      <c r="AX66" s="4"/>
      <c r="AY66" s="4"/>
      <c r="AZ66" s="4"/>
      <c r="BA66" s="4"/>
      <c r="BB66" s="4"/>
      <c r="BC66" s="4"/>
      <c r="BD66" s="4"/>
      <c r="BE66" s="4"/>
      <c r="BF66" s="4"/>
      <c r="BG66" s="4"/>
      <c r="BH66" s="4"/>
      <c r="BI66" s="4"/>
      <c r="BJ66" s="4"/>
      <c r="BK66" s="149"/>
      <c r="BL66" s="4"/>
      <c r="BM66" s="4"/>
      <c r="BN66" s="4"/>
      <c r="BO66" s="4"/>
      <c r="BP66" s="4"/>
      <c r="BQ66" s="4"/>
      <c r="BR66" s="4"/>
      <c r="BS66" s="4"/>
      <c r="BT66" s="4"/>
      <c r="BU66" s="4"/>
      <c r="BV66" s="4"/>
      <c r="BW66" s="4"/>
      <c r="BX66" s="4"/>
      <c r="BY66" s="4"/>
      <c r="BZ66" s="4"/>
      <c r="CA66" s="149"/>
      <c r="CB66" s="4"/>
      <c r="CC66" s="4"/>
      <c r="CD66" s="4"/>
      <c r="CE66" s="4"/>
      <c r="CF66" s="4"/>
      <c r="CG66" s="4"/>
      <c r="CH66" s="4"/>
      <c r="CI66" s="4"/>
      <c r="CJ66" s="4"/>
      <c r="CK66" s="4"/>
      <c r="CL66" s="4"/>
      <c r="CM66" s="4"/>
      <c r="CN66" s="4"/>
      <c r="CO66" s="4"/>
      <c r="CP66" s="4"/>
      <c r="CQ66" s="4"/>
      <c r="CR66" s="4"/>
      <c r="CS66" s="4"/>
      <c r="CT66" s="4"/>
      <c r="CU66" s="4"/>
      <c r="CV66" s="4"/>
      <c r="CW66" s="4"/>
      <c r="CX66" s="4"/>
      <c r="CY66" s="4"/>
    </row>
    <row r="67" spans="1:103" ht="15" customHeight="1" x14ac:dyDescent="0.2">
      <c r="A67" s="110" t="s">
        <v>58</v>
      </c>
      <c r="B67" s="111"/>
      <c r="C67" s="272" t="e">
        <f ca="1">SUM(D67:CY67)</f>
        <v>#REF!</v>
      </c>
      <c r="D67" s="112" t="e">
        <f ca="1">D45</f>
        <v>#REF!</v>
      </c>
      <c r="E67" s="112">
        <f t="shared" ref="E67:AI67" ca="1" si="23">E45</f>
        <v>0</v>
      </c>
      <c r="F67" s="112">
        <f t="shared" ca="1" si="23"/>
        <v>0</v>
      </c>
      <c r="G67" s="112">
        <f t="shared" ca="1" si="23"/>
        <v>0</v>
      </c>
      <c r="H67" s="112">
        <f t="shared" ca="1" si="23"/>
        <v>0</v>
      </c>
      <c r="I67" s="112">
        <f t="shared" ca="1" si="23"/>
        <v>0</v>
      </c>
      <c r="J67" s="112">
        <f t="shared" ca="1" si="23"/>
        <v>0</v>
      </c>
      <c r="K67" s="112">
        <f t="shared" ca="1" si="23"/>
        <v>0</v>
      </c>
      <c r="L67" s="112">
        <f t="shared" ca="1" si="23"/>
        <v>0</v>
      </c>
      <c r="M67" s="112">
        <f t="shared" ca="1" si="23"/>
        <v>0</v>
      </c>
      <c r="N67" s="112">
        <f t="shared" ca="1" si="23"/>
        <v>0</v>
      </c>
      <c r="O67" s="112">
        <f t="shared" ca="1" si="23"/>
        <v>0</v>
      </c>
      <c r="P67" s="112">
        <f t="shared" ca="1" si="23"/>
        <v>0</v>
      </c>
      <c r="Q67" s="112">
        <f t="shared" ca="1" si="23"/>
        <v>0</v>
      </c>
      <c r="R67" s="112">
        <f t="shared" ca="1" si="23"/>
        <v>0</v>
      </c>
      <c r="S67" s="112">
        <f t="shared" ca="1" si="23"/>
        <v>0</v>
      </c>
      <c r="T67" s="112">
        <f t="shared" ca="1" si="23"/>
        <v>0</v>
      </c>
      <c r="U67" s="112">
        <f t="shared" ca="1" si="23"/>
        <v>0</v>
      </c>
      <c r="V67" s="112">
        <f t="shared" ca="1" si="23"/>
        <v>0</v>
      </c>
      <c r="W67" s="112">
        <f t="shared" ca="1" si="23"/>
        <v>0</v>
      </c>
      <c r="X67" s="112">
        <f t="shared" ca="1" si="23"/>
        <v>0</v>
      </c>
      <c r="Y67" s="112">
        <f t="shared" ca="1" si="23"/>
        <v>0</v>
      </c>
      <c r="Z67" s="112">
        <f t="shared" ca="1" si="23"/>
        <v>0</v>
      </c>
      <c r="AA67" s="112">
        <f t="shared" ca="1" si="23"/>
        <v>0</v>
      </c>
      <c r="AB67" s="112">
        <f t="shared" ca="1" si="23"/>
        <v>0</v>
      </c>
      <c r="AC67" s="112">
        <f t="shared" ca="1" si="23"/>
        <v>0</v>
      </c>
      <c r="AD67" s="112">
        <f t="shared" ca="1" si="23"/>
        <v>0</v>
      </c>
      <c r="AE67" s="112">
        <f t="shared" ca="1" si="23"/>
        <v>0</v>
      </c>
      <c r="AF67" s="112">
        <f t="shared" ca="1" si="23"/>
        <v>0</v>
      </c>
      <c r="AG67" s="112">
        <f t="shared" ca="1" si="23"/>
        <v>0</v>
      </c>
      <c r="AH67" s="112">
        <f t="shared" ca="1" si="23"/>
        <v>0</v>
      </c>
      <c r="AI67" s="112">
        <f t="shared" ca="1" si="23"/>
        <v>0</v>
      </c>
      <c r="AJ67" s="112">
        <f t="shared" ref="AJ67:BO67" ca="1" si="24">AJ45</f>
        <v>0</v>
      </c>
      <c r="AK67" s="112">
        <f t="shared" ca="1" si="24"/>
        <v>0</v>
      </c>
      <c r="AL67" s="112">
        <f t="shared" ca="1" si="24"/>
        <v>0</v>
      </c>
      <c r="AM67" s="112">
        <f t="shared" ca="1" si="24"/>
        <v>0</v>
      </c>
      <c r="AN67" s="112">
        <f t="shared" ca="1" si="24"/>
        <v>0</v>
      </c>
      <c r="AO67" s="150">
        <f t="shared" ca="1" si="24"/>
        <v>0</v>
      </c>
      <c r="AP67" s="112">
        <f t="shared" ca="1" si="24"/>
        <v>0</v>
      </c>
      <c r="AQ67" s="112">
        <f t="shared" ca="1" si="24"/>
        <v>0</v>
      </c>
      <c r="AR67" s="112">
        <f t="shared" ca="1" si="24"/>
        <v>0</v>
      </c>
      <c r="AS67" s="112">
        <f t="shared" ca="1" si="24"/>
        <v>0</v>
      </c>
      <c r="AT67" s="112">
        <f t="shared" ca="1" si="24"/>
        <v>0</v>
      </c>
      <c r="AU67" s="112">
        <f t="shared" ca="1" si="24"/>
        <v>0</v>
      </c>
      <c r="AV67" s="112">
        <f t="shared" ca="1" si="24"/>
        <v>0</v>
      </c>
      <c r="AW67" s="112">
        <f t="shared" ca="1" si="24"/>
        <v>0</v>
      </c>
      <c r="AX67" s="112">
        <f t="shared" ca="1" si="24"/>
        <v>0</v>
      </c>
      <c r="AY67" s="112">
        <f t="shared" ca="1" si="24"/>
        <v>0</v>
      </c>
      <c r="AZ67" s="112">
        <f t="shared" ca="1" si="24"/>
        <v>0</v>
      </c>
      <c r="BA67" s="112">
        <f t="shared" ca="1" si="24"/>
        <v>0</v>
      </c>
      <c r="BB67" s="112">
        <f t="shared" ca="1" si="24"/>
        <v>0</v>
      </c>
      <c r="BC67" s="112">
        <f t="shared" ca="1" si="24"/>
        <v>0</v>
      </c>
      <c r="BD67" s="112">
        <f t="shared" ca="1" si="24"/>
        <v>0</v>
      </c>
      <c r="BE67" s="112">
        <f t="shared" ca="1" si="24"/>
        <v>0</v>
      </c>
      <c r="BF67" s="112">
        <f t="shared" ca="1" si="24"/>
        <v>0</v>
      </c>
      <c r="BG67" s="112">
        <f t="shared" ca="1" si="24"/>
        <v>0</v>
      </c>
      <c r="BH67" s="112">
        <f t="shared" ca="1" si="24"/>
        <v>0</v>
      </c>
      <c r="BI67" s="112">
        <f t="shared" ca="1" si="24"/>
        <v>0</v>
      </c>
      <c r="BJ67" s="112">
        <f t="shared" ca="1" si="24"/>
        <v>0</v>
      </c>
      <c r="BK67" s="150">
        <f t="shared" ca="1" si="24"/>
        <v>0</v>
      </c>
      <c r="BL67" s="112">
        <f t="shared" ca="1" si="24"/>
        <v>0</v>
      </c>
      <c r="BM67" s="112">
        <f t="shared" ca="1" si="24"/>
        <v>0</v>
      </c>
      <c r="BN67" s="112">
        <f t="shared" ca="1" si="24"/>
        <v>0</v>
      </c>
      <c r="BO67" s="112">
        <f t="shared" ca="1" si="24"/>
        <v>0</v>
      </c>
      <c r="BP67" s="112">
        <f t="shared" ref="BP67:CY67" ca="1" si="25">BP45</f>
        <v>0</v>
      </c>
      <c r="BQ67" s="112">
        <f t="shared" ca="1" si="25"/>
        <v>0</v>
      </c>
      <c r="BR67" s="112">
        <f t="shared" ca="1" si="25"/>
        <v>0</v>
      </c>
      <c r="BS67" s="112">
        <f t="shared" ca="1" si="25"/>
        <v>0</v>
      </c>
      <c r="BT67" s="112">
        <f t="shared" ca="1" si="25"/>
        <v>0</v>
      </c>
      <c r="BU67" s="112">
        <f t="shared" ca="1" si="25"/>
        <v>0</v>
      </c>
      <c r="BV67" s="112">
        <f t="shared" ca="1" si="25"/>
        <v>0</v>
      </c>
      <c r="BW67" s="112">
        <f t="shared" ca="1" si="25"/>
        <v>0</v>
      </c>
      <c r="BX67" s="112">
        <f t="shared" ca="1" si="25"/>
        <v>0</v>
      </c>
      <c r="BY67" s="112">
        <f t="shared" ca="1" si="25"/>
        <v>0</v>
      </c>
      <c r="BZ67" s="112">
        <f t="shared" ca="1" si="25"/>
        <v>0</v>
      </c>
      <c r="CA67" s="150">
        <f t="shared" ca="1" si="25"/>
        <v>0</v>
      </c>
      <c r="CB67" s="112">
        <f t="shared" ca="1" si="25"/>
        <v>0</v>
      </c>
      <c r="CC67" s="112">
        <f t="shared" ca="1" si="25"/>
        <v>0</v>
      </c>
      <c r="CD67" s="112">
        <f t="shared" ca="1" si="25"/>
        <v>0</v>
      </c>
      <c r="CE67" s="112">
        <f t="shared" ca="1" si="25"/>
        <v>0</v>
      </c>
      <c r="CF67" s="112">
        <f t="shared" ca="1" si="25"/>
        <v>0</v>
      </c>
      <c r="CG67" s="112">
        <f t="shared" ca="1" si="25"/>
        <v>0</v>
      </c>
      <c r="CH67" s="112">
        <f t="shared" ca="1" si="25"/>
        <v>0</v>
      </c>
      <c r="CI67" s="112">
        <f t="shared" ca="1" si="25"/>
        <v>0</v>
      </c>
      <c r="CJ67" s="112">
        <f t="shared" ca="1" si="25"/>
        <v>0</v>
      </c>
      <c r="CK67" s="112">
        <f t="shared" ca="1" si="25"/>
        <v>0</v>
      </c>
      <c r="CL67" s="112">
        <f t="shared" ca="1" si="25"/>
        <v>0</v>
      </c>
      <c r="CM67" s="112">
        <f t="shared" ca="1" si="25"/>
        <v>0</v>
      </c>
      <c r="CN67" s="112">
        <f t="shared" ca="1" si="25"/>
        <v>0</v>
      </c>
      <c r="CO67" s="112">
        <f t="shared" ca="1" si="25"/>
        <v>0</v>
      </c>
      <c r="CP67" s="112">
        <f t="shared" ca="1" si="25"/>
        <v>0</v>
      </c>
      <c r="CQ67" s="112">
        <f t="shared" ca="1" si="25"/>
        <v>0</v>
      </c>
      <c r="CR67" s="112">
        <f t="shared" ca="1" si="25"/>
        <v>0</v>
      </c>
      <c r="CS67" s="112">
        <f t="shared" ca="1" si="25"/>
        <v>0</v>
      </c>
      <c r="CT67" s="112">
        <f t="shared" ca="1" si="25"/>
        <v>0</v>
      </c>
      <c r="CU67" s="112">
        <f t="shared" ca="1" si="25"/>
        <v>0</v>
      </c>
      <c r="CV67" s="112">
        <f t="shared" ca="1" si="25"/>
        <v>0</v>
      </c>
      <c r="CW67" s="112">
        <f t="shared" ca="1" si="25"/>
        <v>0</v>
      </c>
      <c r="CX67" s="112">
        <f t="shared" ca="1" si="25"/>
        <v>0</v>
      </c>
      <c r="CY67" s="112">
        <f t="shared" ca="1" si="25"/>
        <v>0</v>
      </c>
    </row>
    <row r="68" spans="1:103" ht="15" customHeight="1" thickBot="1" x14ac:dyDescent="0.25">
      <c r="A68" s="113" t="s">
        <v>59</v>
      </c>
      <c r="B68" s="114"/>
      <c r="C68" s="273" t="e">
        <f ca="1">SUM(D68:CY68)</f>
        <v>#REF!</v>
      </c>
      <c r="D68" s="115" t="e">
        <f ca="1">D45-D44</f>
        <v>#REF!</v>
      </c>
      <c r="E68" s="115">
        <f t="shared" ref="E68:AI68" ca="1" si="26">E45-E44</f>
        <v>0</v>
      </c>
      <c r="F68" s="115">
        <f t="shared" ca="1" si="26"/>
        <v>0</v>
      </c>
      <c r="G68" s="115">
        <f t="shared" ca="1" si="26"/>
        <v>0</v>
      </c>
      <c r="H68" s="115">
        <f t="shared" ca="1" si="26"/>
        <v>0</v>
      </c>
      <c r="I68" s="115">
        <f t="shared" ca="1" si="26"/>
        <v>0</v>
      </c>
      <c r="J68" s="115">
        <f t="shared" ca="1" si="26"/>
        <v>0</v>
      </c>
      <c r="K68" s="115">
        <f t="shared" ca="1" si="26"/>
        <v>0</v>
      </c>
      <c r="L68" s="115">
        <f t="shared" ca="1" si="26"/>
        <v>0</v>
      </c>
      <c r="M68" s="115">
        <f t="shared" ca="1" si="26"/>
        <v>0</v>
      </c>
      <c r="N68" s="115">
        <f t="shared" ca="1" si="26"/>
        <v>0</v>
      </c>
      <c r="O68" s="115">
        <f t="shared" ca="1" si="26"/>
        <v>0</v>
      </c>
      <c r="P68" s="115">
        <f t="shared" ca="1" si="26"/>
        <v>0</v>
      </c>
      <c r="Q68" s="115">
        <f t="shared" ca="1" si="26"/>
        <v>0</v>
      </c>
      <c r="R68" s="115">
        <f t="shared" ca="1" si="26"/>
        <v>0</v>
      </c>
      <c r="S68" s="115">
        <f t="shared" ca="1" si="26"/>
        <v>0</v>
      </c>
      <c r="T68" s="115">
        <f t="shared" ca="1" si="26"/>
        <v>0</v>
      </c>
      <c r="U68" s="115">
        <f t="shared" ca="1" si="26"/>
        <v>0</v>
      </c>
      <c r="V68" s="115">
        <f t="shared" ca="1" si="26"/>
        <v>0</v>
      </c>
      <c r="W68" s="115">
        <f t="shared" ca="1" si="26"/>
        <v>0</v>
      </c>
      <c r="X68" s="115">
        <f t="shared" ca="1" si="26"/>
        <v>0</v>
      </c>
      <c r="Y68" s="115">
        <f t="shared" ca="1" si="26"/>
        <v>0</v>
      </c>
      <c r="Z68" s="115">
        <f t="shared" ca="1" si="26"/>
        <v>0</v>
      </c>
      <c r="AA68" s="115">
        <f t="shared" ca="1" si="26"/>
        <v>0</v>
      </c>
      <c r="AB68" s="115">
        <f t="shared" ca="1" si="26"/>
        <v>0</v>
      </c>
      <c r="AC68" s="115">
        <f t="shared" ca="1" si="26"/>
        <v>0</v>
      </c>
      <c r="AD68" s="115">
        <f t="shared" ca="1" si="26"/>
        <v>0</v>
      </c>
      <c r="AE68" s="115">
        <f t="shared" ca="1" si="26"/>
        <v>0</v>
      </c>
      <c r="AF68" s="115">
        <f t="shared" ca="1" si="26"/>
        <v>0</v>
      </c>
      <c r="AG68" s="115">
        <f t="shared" ca="1" si="26"/>
        <v>0</v>
      </c>
      <c r="AH68" s="115">
        <f t="shared" ca="1" si="26"/>
        <v>0</v>
      </c>
      <c r="AI68" s="115">
        <f t="shared" ca="1" si="26"/>
        <v>0</v>
      </c>
      <c r="AJ68" s="115">
        <f t="shared" ref="AJ68:BO68" ca="1" si="27">AJ45-AJ44</f>
        <v>0</v>
      </c>
      <c r="AK68" s="115">
        <f t="shared" ca="1" si="27"/>
        <v>0</v>
      </c>
      <c r="AL68" s="115">
        <f t="shared" ca="1" si="27"/>
        <v>0</v>
      </c>
      <c r="AM68" s="115">
        <f t="shared" ca="1" si="27"/>
        <v>0</v>
      </c>
      <c r="AN68" s="115">
        <f t="shared" ca="1" si="27"/>
        <v>0</v>
      </c>
      <c r="AO68" s="151">
        <f t="shared" ca="1" si="27"/>
        <v>0</v>
      </c>
      <c r="AP68" s="115">
        <f t="shared" ca="1" si="27"/>
        <v>0</v>
      </c>
      <c r="AQ68" s="115">
        <f t="shared" ca="1" si="27"/>
        <v>0</v>
      </c>
      <c r="AR68" s="115">
        <f t="shared" ca="1" si="27"/>
        <v>0</v>
      </c>
      <c r="AS68" s="115">
        <f t="shared" ca="1" si="27"/>
        <v>0</v>
      </c>
      <c r="AT68" s="115">
        <f t="shared" ca="1" si="27"/>
        <v>0</v>
      </c>
      <c r="AU68" s="115">
        <f t="shared" ca="1" si="27"/>
        <v>0</v>
      </c>
      <c r="AV68" s="115">
        <f t="shared" ca="1" si="27"/>
        <v>0</v>
      </c>
      <c r="AW68" s="115">
        <f t="shared" ca="1" si="27"/>
        <v>0</v>
      </c>
      <c r="AX68" s="115">
        <f t="shared" ca="1" si="27"/>
        <v>0</v>
      </c>
      <c r="AY68" s="115">
        <f t="shared" ca="1" si="27"/>
        <v>0</v>
      </c>
      <c r="AZ68" s="115">
        <f t="shared" ca="1" si="27"/>
        <v>0</v>
      </c>
      <c r="BA68" s="115">
        <f t="shared" ca="1" si="27"/>
        <v>0</v>
      </c>
      <c r="BB68" s="115">
        <f t="shared" ca="1" si="27"/>
        <v>0</v>
      </c>
      <c r="BC68" s="115">
        <f t="shared" ca="1" si="27"/>
        <v>0</v>
      </c>
      <c r="BD68" s="115">
        <f t="shared" ca="1" si="27"/>
        <v>0</v>
      </c>
      <c r="BE68" s="115">
        <f t="shared" ca="1" si="27"/>
        <v>0</v>
      </c>
      <c r="BF68" s="115">
        <f t="shared" ca="1" si="27"/>
        <v>0</v>
      </c>
      <c r="BG68" s="115">
        <f t="shared" ca="1" si="27"/>
        <v>0</v>
      </c>
      <c r="BH68" s="115">
        <f t="shared" ca="1" si="27"/>
        <v>0</v>
      </c>
      <c r="BI68" s="115">
        <f t="shared" ca="1" si="27"/>
        <v>0</v>
      </c>
      <c r="BJ68" s="115">
        <f t="shared" ca="1" si="27"/>
        <v>0</v>
      </c>
      <c r="BK68" s="151">
        <f t="shared" ca="1" si="27"/>
        <v>0</v>
      </c>
      <c r="BL68" s="115">
        <f t="shared" ca="1" si="27"/>
        <v>0</v>
      </c>
      <c r="BM68" s="115">
        <f t="shared" ca="1" si="27"/>
        <v>0</v>
      </c>
      <c r="BN68" s="115">
        <f t="shared" ca="1" si="27"/>
        <v>0</v>
      </c>
      <c r="BO68" s="115">
        <f t="shared" ca="1" si="27"/>
        <v>0</v>
      </c>
      <c r="BP68" s="115">
        <f t="shared" ref="BP68:CY68" ca="1" si="28">BP45-BP44</f>
        <v>0</v>
      </c>
      <c r="BQ68" s="115">
        <f t="shared" ca="1" si="28"/>
        <v>0</v>
      </c>
      <c r="BR68" s="115">
        <f t="shared" ca="1" si="28"/>
        <v>0</v>
      </c>
      <c r="BS68" s="115">
        <f t="shared" ca="1" si="28"/>
        <v>0</v>
      </c>
      <c r="BT68" s="115">
        <f t="shared" ca="1" si="28"/>
        <v>0</v>
      </c>
      <c r="BU68" s="115">
        <f t="shared" ca="1" si="28"/>
        <v>0</v>
      </c>
      <c r="BV68" s="115">
        <f t="shared" ca="1" si="28"/>
        <v>0</v>
      </c>
      <c r="BW68" s="115">
        <f t="shared" ca="1" si="28"/>
        <v>0</v>
      </c>
      <c r="BX68" s="115">
        <f t="shared" ca="1" si="28"/>
        <v>0</v>
      </c>
      <c r="BY68" s="115">
        <f t="shared" ca="1" si="28"/>
        <v>0</v>
      </c>
      <c r="BZ68" s="115">
        <f t="shared" ca="1" si="28"/>
        <v>0</v>
      </c>
      <c r="CA68" s="151">
        <f t="shared" ca="1" si="28"/>
        <v>0</v>
      </c>
      <c r="CB68" s="115">
        <f t="shared" ca="1" si="28"/>
        <v>0</v>
      </c>
      <c r="CC68" s="115">
        <f t="shared" ca="1" si="28"/>
        <v>0</v>
      </c>
      <c r="CD68" s="115">
        <f t="shared" ca="1" si="28"/>
        <v>0</v>
      </c>
      <c r="CE68" s="115">
        <f t="shared" ca="1" si="28"/>
        <v>0</v>
      </c>
      <c r="CF68" s="115">
        <f t="shared" ca="1" si="28"/>
        <v>0</v>
      </c>
      <c r="CG68" s="115">
        <f t="shared" ca="1" si="28"/>
        <v>0</v>
      </c>
      <c r="CH68" s="115">
        <f t="shared" ca="1" si="28"/>
        <v>0</v>
      </c>
      <c r="CI68" s="115">
        <f t="shared" ca="1" si="28"/>
        <v>0</v>
      </c>
      <c r="CJ68" s="115">
        <f t="shared" ca="1" si="28"/>
        <v>0</v>
      </c>
      <c r="CK68" s="115">
        <f t="shared" ca="1" si="28"/>
        <v>0</v>
      </c>
      <c r="CL68" s="115">
        <f t="shared" ca="1" si="28"/>
        <v>0</v>
      </c>
      <c r="CM68" s="115">
        <f t="shared" ca="1" si="28"/>
        <v>0</v>
      </c>
      <c r="CN68" s="115">
        <f t="shared" ca="1" si="28"/>
        <v>0</v>
      </c>
      <c r="CO68" s="115">
        <f t="shared" ca="1" si="28"/>
        <v>0</v>
      </c>
      <c r="CP68" s="115">
        <f t="shared" ca="1" si="28"/>
        <v>0</v>
      </c>
      <c r="CQ68" s="115">
        <f t="shared" ca="1" si="28"/>
        <v>0</v>
      </c>
      <c r="CR68" s="115">
        <f t="shared" ca="1" si="28"/>
        <v>0</v>
      </c>
      <c r="CS68" s="115">
        <f t="shared" ca="1" si="28"/>
        <v>0</v>
      </c>
      <c r="CT68" s="115">
        <f t="shared" ca="1" si="28"/>
        <v>0</v>
      </c>
      <c r="CU68" s="115">
        <f t="shared" ca="1" si="28"/>
        <v>0</v>
      </c>
      <c r="CV68" s="115">
        <f t="shared" ca="1" si="28"/>
        <v>0</v>
      </c>
      <c r="CW68" s="115">
        <f t="shared" ca="1" si="28"/>
        <v>0</v>
      </c>
      <c r="CX68" s="115">
        <f t="shared" ca="1" si="28"/>
        <v>0</v>
      </c>
      <c r="CY68" s="115">
        <f t="shared" ca="1" si="28"/>
        <v>0</v>
      </c>
    </row>
    <row r="69" spans="1:103" ht="15" customHeight="1" thickBot="1" x14ac:dyDescent="0.25">
      <c r="A69" s="89"/>
      <c r="B69" s="49"/>
      <c r="C69" s="271"/>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149"/>
      <c r="AP69" s="4"/>
      <c r="AQ69" s="4"/>
      <c r="AR69" s="4"/>
      <c r="AS69" s="4"/>
      <c r="AT69" s="4"/>
      <c r="AU69" s="4"/>
      <c r="AV69" s="4"/>
      <c r="AW69" s="4"/>
      <c r="AX69" s="4"/>
      <c r="AY69" s="4"/>
      <c r="AZ69" s="4"/>
      <c r="BA69" s="4"/>
      <c r="BB69" s="4"/>
      <c r="BC69" s="4"/>
      <c r="BD69" s="4"/>
      <c r="BE69" s="4"/>
      <c r="BF69" s="4"/>
      <c r="BG69" s="4"/>
      <c r="BH69" s="4"/>
      <c r="BI69" s="4"/>
      <c r="BJ69" s="4"/>
      <c r="BK69" s="149"/>
      <c r="BL69" s="4"/>
      <c r="BM69" s="4"/>
      <c r="BN69" s="4"/>
      <c r="BO69" s="4"/>
      <c r="BP69" s="4"/>
      <c r="BQ69" s="4"/>
      <c r="BR69" s="4"/>
      <c r="BS69" s="4"/>
      <c r="BT69" s="4"/>
      <c r="BU69" s="4"/>
      <c r="BV69" s="4"/>
      <c r="BW69" s="4"/>
      <c r="BX69" s="4"/>
      <c r="BY69" s="4"/>
      <c r="BZ69" s="4"/>
      <c r="CA69" s="149"/>
      <c r="CB69" s="4"/>
      <c r="CC69" s="4"/>
      <c r="CD69" s="4"/>
      <c r="CE69" s="4"/>
      <c r="CF69" s="4"/>
      <c r="CG69" s="4"/>
      <c r="CH69" s="4"/>
      <c r="CI69" s="4"/>
      <c r="CJ69" s="4"/>
      <c r="CK69" s="4"/>
      <c r="CL69" s="4"/>
      <c r="CM69" s="4"/>
      <c r="CN69" s="4"/>
      <c r="CO69" s="4"/>
      <c r="CP69" s="4"/>
      <c r="CQ69" s="4"/>
      <c r="CR69" s="4"/>
      <c r="CS69" s="4"/>
      <c r="CT69" s="4"/>
      <c r="CU69" s="4"/>
      <c r="CV69" s="4"/>
      <c r="CW69" s="4"/>
      <c r="CX69" s="4"/>
      <c r="CY69" s="4"/>
    </row>
    <row r="70" spans="1:103" ht="15" customHeight="1" x14ac:dyDescent="0.2">
      <c r="A70" s="87" t="s">
        <v>60</v>
      </c>
      <c r="B70" s="50"/>
      <c r="C70" s="274">
        <f ca="1">SUM(D70:CY70)</f>
        <v>0</v>
      </c>
      <c r="D70" s="2">
        <f>D63</f>
        <v>0</v>
      </c>
      <c r="E70" s="2">
        <f t="shared" ref="E70:AI70" ca="1" si="29">E63</f>
        <v>0</v>
      </c>
      <c r="F70" s="2">
        <f t="shared" ca="1" si="29"/>
        <v>0</v>
      </c>
      <c r="G70" s="2">
        <f t="shared" ca="1" si="29"/>
        <v>0</v>
      </c>
      <c r="H70" s="2">
        <f t="shared" ca="1" si="29"/>
        <v>0</v>
      </c>
      <c r="I70" s="2">
        <f t="shared" ca="1" si="29"/>
        <v>0</v>
      </c>
      <c r="J70" s="2">
        <f t="shared" ca="1" si="29"/>
        <v>0</v>
      </c>
      <c r="K70" s="2">
        <f t="shared" ca="1" si="29"/>
        <v>0</v>
      </c>
      <c r="L70" s="2">
        <f t="shared" ca="1" si="29"/>
        <v>0</v>
      </c>
      <c r="M70" s="2">
        <f t="shared" ca="1" si="29"/>
        <v>0</v>
      </c>
      <c r="N70" s="2">
        <f t="shared" ca="1" si="29"/>
        <v>0</v>
      </c>
      <c r="O70" s="2">
        <f t="shared" ca="1" si="29"/>
        <v>0</v>
      </c>
      <c r="P70" s="2">
        <f t="shared" ca="1" si="29"/>
        <v>0</v>
      </c>
      <c r="Q70" s="2">
        <f t="shared" ca="1" si="29"/>
        <v>0</v>
      </c>
      <c r="R70" s="2">
        <f t="shared" ca="1" si="29"/>
        <v>0</v>
      </c>
      <c r="S70" s="2">
        <f t="shared" ca="1" si="29"/>
        <v>0</v>
      </c>
      <c r="T70" s="2">
        <f t="shared" ca="1" si="29"/>
        <v>0</v>
      </c>
      <c r="U70" s="2">
        <f t="shared" ca="1" si="29"/>
        <v>0</v>
      </c>
      <c r="V70" s="2">
        <f t="shared" ca="1" si="29"/>
        <v>0</v>
      </c>
      <c r="W70" s="2">
        <f t="shared" ca="1" si="29"/>
        <v>0</v>
      </c>
      <c r="X70" s="2">
        <f t="shared" ca="1" si="29"/>
        <v>0</v>
      </c>
      <c r="Y70" s="2">
        <f t="shared" ca="1" si="29"/>
        <v>0</v>
      </c>
      <c r="Z70" s="2">
        <f t="shared" ca="1" si="29"/>
        <v>0</v>
      </c>
      <c r="AA70" s="2">
        <f t="shared" ca="1" si="29"/>
        <v>0</v>
      </c>
      <c r="AB70" s="2">
        <f t="shared" ca="1" si="29"/>
        <v>0</v>
      </c>
      <c r="AC70" s="2">
        <f t="shared" ca="1" si="29"/>
        <v>0</v>
      </c>
      <c r="AD70" s="2">
        <f t="shared" ca="1" si="29"/>
        <v>0</v>
      </c>
      <c r="AE70" s="2">
        <f t="shared" ca="1" si="29"/>
        <v>0</v>
      </c>
      <c r="AF70" s="2">
        <f t="shared" ca="1" si="29"/>
        <v>0</v>
      </c>
      <c r="AG70" s="2">
        <f t="shared" ca="1" si="29"/>
        <v>0</v>
      </c>
      <c r="AH70" s="2">
        <f t="shared" ca="1" si="29"/>
        <v>0</v>
      </c>
      <c r="AI70" s="2">
        <f t="shared" ca="1" si="29"/>
        <v>0</v>
      </c>
      <c r="AJ70" s="2">
        <f t="shared" ref="AJ70:BO70" ca="1" si="30">AJ63</f>
        <v>0</v>
      </c>
      <c r="AK70" s="2">
        <f t="shared" ca="1" si="30"/>
        <v>0</v>
      </c>
      <c r="AL70" s="2">
        <f t="shared" ca="1" si="30"/>
        <v>0</v>
      </c>
      <c r="AM70" s="2">
        <f t="shared" ca="1" si="30"/>
        <v>0</v>
      </c>
      <c r="AN70" s="2">
        <f t="shared" ca="1" si="30"/>
        <v>0</v>
      </c>
      <c r="AO70" s="152">
        <f t="shared" ca="1" si="30"/>
        <v>0</v>
      </c>
      <c r="AP70" s="2">
        <f t="shared" ca="1" si="30"/>
        <v>0</v>
      </c>
      <c r="AQ70" s="2">
        <f t="shared" ca="1" si="30"/>
        <v>0</v>
      </c>
      <c r="AR70" s="2">
        <f t="shared" ca="1" si="30"/>
        <v>0</v>
      </c>
      <c r="AS70" s="2">
        <f t="shared" ca="1" si="30"/>
        <v>0</v>
      </c>
      <c r="AT70" s="2">
        <f t="shared" ca="1" si="30"/>
        <v>0</v>
      </c>
      <c r="AU70" s="2">
        <f t="shared" ca="1" si="30"/>
        <v>0</v>
      </c>
      <c r="AV70" s="2">
        <f t="shared" ca="1" si="30"/>
        <v>0</v>
      </c>
      <c r="AW70" s="2">
        <f t="shared" ca="1" si="30"/>
        <v>0</v>
      </c>
      <c r="AX70" s="2">
        <f t="shared" ca="1" si="30"/>
        <v>0</v>
      </c>
      <c r="AY70" s="2">
        <f t="shared" ca="1" si="30"/>
        <v>0</v>
      </c>
      <c r="AZ70" s="2">
        <f t="shared" ca="1" si="30"/>
        <v>0</v>
      </c>
      <c r="BA70" s="2">
        <f t="shared" ca="1" si="30"/>
        <v>0</v>
      </c>
      <c r="BB70" s="2">
        <f t="shared" ca="1" si="30"/>
        <v>0</v>
      </c>
      <c r="BC70" s="2">
        <f t="shared" ca="1" si="30"/>
        <v>0</v>
      </c>
      <c r="BD70" s="2">
        <f t="shared" ca="1" si="30"/>
        <v>0</v>
      </c>
      <c r="BE70" s="2">
        <f t="shared" ca="1" si="30"/>
        <v>0</v>
      </c>
      <c r="BF70" s="2">
        <f t="shared" ca="1" si="30"/>
        <v>0</v>
      </c>
      <c r="BG70" s="2">
        <f t="shared" ca="1" si="30"/>
        <v>0</v>
      </c>
      <c r="BH70" s="2">
        <f t="shared" ca="1" si="30"/>
        <v>0</v>
      </c>
      <c r="BI70" s="2">
        <f t="shared" ca="1" si="30"/>
        <v>0</v>
      </c>
      <c r="BJ70" s="2">
        <f t="shared" ca="1" si="30"/>
        <v>0</v>
      </c>
      <c r="BK70" s="152">
        <f t="shared" ca="1" si="30"/>
        <v>0</v>
      </c>
      <c r="BL70" s="2">
        <f t="shared" ca="1" si="30"/>
        <v>0</v>
      </c>
      <c r="BM70" s="2">
        <f t="shared" ca="1" si="30"/>
        <v>0</v>
      </c>
      <c r="BN70" s="2">
        <f t="shared" ca="1" si="30"/>
        <v>0</v>
      </c>
      <c r="BO70" s="2">
        <f t="shared" ca="1" si="30"/>
        <v>0</v>
      </c>
      <c r="BP70" s="2">
        <f t="shared" ref="BP70:CY70" ca="1" si="31">BP63</f>
        <v>0</v>
      </c>
      <c r="BQ70" s="2">
        <f t="shared" ca="1" si="31"/>
        <v>0</v>
      </c>
      <c r="BR70" s="2">
        <f t="shared" ca="1" si="31"/>
        <v>0</v>
      </c>
      <c r="BS70" s="2">
        <f t="shared" ca="1" si="31"/>
        <v>0</v>
      </c>
      <c r="BT70" s="2">
        <f t="shared" ca="1" si="31"/>
        <v>0</v>
      </c>
      <c r="BU70" s="2">
        <f t="shared" ca="1" si="31"/>
        <v>0</v>
      </c>
      <c r="BV70" s="2">
        <f t="shared" ca="1" si="31"/>
        <v>0</v>
      </c>
      <c r="BW70" s="2">
        <f t="shared" ca="1" si="31"/>
        <v>0</v>
      </c>
      <c r="BX70" s="2">
        <f t="shared" ca="1" si="31"/>
        <v>0</v>
      </c>
      <c r="BY70" s="2">
        <f t="shared" ca="1" si="31"/>
        <v>0</v>
      </c>
      <c r="BZ70" s="2">
        <f t="shared" ca="1" si="31"/>
        <v>0</v>
      </c>
      <c r="CA70" s="152">
        <f t="shared" ca="1" si="31"/>
        <v>0</v>
      </c>
      <c r="CB70" s="2">
        <f t="shared" ca="1" si="31"/>
        <v>0</v>
      </c>
      <c r="CC70" s="2">
        <f t="shared" ca="1" si="31"/>
        <v>0</v>
      </c>
      <c r="CD70" s="2">
        <f t="shared" ca="1" si="31"/>
        <v>0</v>
      </c>
      <c r="CE70" s="2">
        <f t="shared" ca="1" si="31"/>
        <v>0</v>
      </c>
      <c r="CF70" s="2">
        <f t="shared" ca="1" si="31"/>
        <v>0</v>
      </c>
      <c r="CG70" s="2">
        <f t="shared" ca="1" si="31"/>
        <v>0</v>
      </c>
      <c r="CH70" s="2">
        <f t="shared" ca="1" si="31"/>
        <v>0</v>
      </c>
      <c r="CI70" s="2">
        <f t="shared" ca="1" si="31"/>
        <v>0</v>
      </c>
      <c r="CJ70" s="2">
        <f t="shared" ca="1" si="31"/>
        <v>0</v>
      </c>
      <c r="CK70" s="2">
        <f t="shared" ca="1" si="31"/>
        <v>0</v>
      </c>
      <c r="CL70" s="2">
        <f t="shared" ca="1" si="31"/>
        <v>0</v>
      </c>
      <c r="CM70" s="2">
        <f t="shared" ca="1" si="31"/>
        <v>0</v>
      </c>
      <c r="CN70" s="2">
        <f t="shared" ca="1" si="31"/>
        <v>0</v>
      </c>
      <c r="CO70" s="2">
        <f t="shared" ca="1" si="31"/>
        <v>0</v>
      </c>
      <c r="CP70" s="2">
        <f t="shared" ca="1" si="31"/>
        <v>0</v>
      </c>
      <c r="CQ70" s="2">
        <f t="shared" ca="1" si="31"/>
        <v>0</v>
      </c>
      <c r="CR70" s="2">
        <f t="shared" ca="1" si="31"/>
        <v>0</v>
      </c>
      <c r="CS70" s="2">
        <f t="shared" ca="1" si="31"/>
        <v>0</v>
      </c>
      <c r="CT70" s="2">
        <f t="shared" ca="1" si="31"/>
        <v>0</v>
      </c>
      <c r="CU70" s="2">
        <f t="shared" ca="1" si="31"/>
        <v>0</v>
      </c>
      <c r="CV70" s="2">
        <f t="shared" ca="1" si="31"/>
        <v>0</v>
      </c>
      <c r="CW70" s="2">
        <f t="shared" ca="1" si="31"/>
        <v>0</v>
      </c>
      <c r="CX70" s="2">
        <f t="shared" ca="1" si="31"/>
        <v>0</v>
      </c>
      <c r="CY70" s="2">
        <f t="shared" ca="1" si="31"/>
        <v>0</v>
      </c>
    </row>
    <row r="71" spans="1:103" ht="15" customHeight="1" thickBot="1" x14ac:dyDescent="0.25">
      <c r="A71" s="88" t="s">
        <v>61</v>
      </c>
      <c r="B71" s="51"/>
      <c r="C71" s="275">
        <f ca="1">SUM(D71:CY71)</f>
        <v>0</v>
      </c>
      <c r="D71" s="3">
        <f>D63-D54</f>
        <v>0</v>
      </c>
      <c r="E71" s="3">
        <f t="shared" ref="E71:AI71" ca="1" si="32">E63-E54</f>
        <v>0</v>
      </c>
      <c r="F71" s="3">
        <f t="shared" ca="1" si="32"/>
        <v>0</v>
      </c>
      <c r="G71" s="3">
        <f t="shared" ca="1" si="32"/>
        <v>0</v>
      </c>
      <c r="H71" s="3">
        <f t="shared" ca="1" si="32"/>
        <v>0</v>
      </c>
      <c r="I71" s="3">
        <f t="shared" ca="1" si="32"/>
        <v>0</v>
      </c>
      <c r="J71" s="3">
        <f t="shared" ca="1" si="32"/>
        <v>0</v>
      </c>
      <c r="K71" s="3">
        <f t="shared" ca="1" si="32"/>
        <v>0</v>
      </c>
      <c r="L71" s="3">
        <f t="shared" ca="1" si="32"/>
        <v>0</v>
      </c>
      <c r="M71" s="3">
        <f t="shared" ca="1" si="32"/>
        <v>0</v>
      </c>
      <c r="N71" s="3">
        <f t="shared" ca="1" si="32"/>
        <v>0</v>
      </c>
      <c r="O71" s="3">
        <f t="shared" ca="1" si="32"/>
        <v>0</v>
      </c>
      <c r="P71" s="3">
        <f t="shared" ca="1" si="32"/>
        <v>0</v>
      </c>
      <c r="Q71" s="3">
        <f t="shared" ca="1" si="32"/>
        <v>0</v>
      </c>
      <c r="R71" s="3">
        <f t="shared" ca="1" si="32"/>
        <v>0</v>
      </c>
      <c r="S71" s="3">
        <f t="shared" ca="1" si="32"/>
        <v>0</v>
      </c>
      <c r="T71" s="3">
        <f t="shared" ca="1" si="32"/>
        <v>0</v>
      </c>
      <c r="U71" s="3">
        <f t="shared" ca="1" si="32"/>
        <v>0</v>
      </c>
      <c r="V71" s="3">
        <f t="shared" ca="1" si="32"/>
        <v>0</v>
      </c>
      <c r="W71" s="3">
        <f t="shared" ca="1" si="32"/>
        <v>0</v>
      </c>
      <c r="X71" s="3">
        <f t="shared" ca="1" si="32"/>
        <v>0</v>
      </c>
      <c r="Y71" s="3">
        <f t="shared" ca="1" si="32"/>
        <v>0</v>
      </c>
      <c r="Z71" s="3">
        <f t="shared" ca="1" si="32"/>
        <v>0</v>
      </c>
      <c r="AA71" s="3">
        <f t="shared" ca="1" si="32"/>
        <v>0</v>
      </c>
      <c r="AB71" s="3">
        <f t="shared" ca="1" si="32"/>
        <v>0</v>
      </c>
      <c r="AC71" s="3">
        <f t="shared" ca="1" si="32"/>
        <v>0</v>
      </c>
      <c r="AD71" s="3">
        <f t="shared" ca="1" si="32"/>
        <v>0</v>
      </c>
      <c r="AE71" s="3">
        <f t="shared" ca="1" si="32"/>
        <v>0</v>
      </c>
      <c r="AF71" s="3">
        <f t="shared" ca="1" si="32"/>
        <v>0</v>
      </c>
      <c r="AG71" s="3">
        <f t="shared" ca="1" si="32"/>
        <v>0</v>
      </c>
      <c r="AH71" s="3">
        <f t="shared" ca="1" si="32"/>
        <v>0</v>
      </c>
      <c r="AI71" s="3">
        <f t="shared" ca="1" si="32"/>
        <v>0</v>
      </c>
      <c r="AJ71" s="3">
        <f t="shared" ref="AJ71:BO71" ca="1" si="33">AJ63-AJ54</f>
        <v>0</v>
      </c>
      <c r="AK71" s="3">
        <f t="shared" ca="1" si="33"/>
        <v>0</v>
      </c>
      <c r="AL71" s="3">
        <f t="shared" ca="1" si="33"/>
        <v>0</v>
      </c>
      <c r="AM71" s="3">
        <f t="shared" ca="1" si="33"/>
        <v>0</v>
      </c>
      <c r="AN71" s="3">
        <f t="shared" ca="1" si="33"/>
        <v>0</v>
      </c>
      <c r="AO71" s="153">
        <f t="shared" ca="1" si="33"/>
        <v>0</v>
      </c>
      <c r="AP71" s="3">
        <f t="shared" ca="1" si="33"/>
        <v>0</v>
      </c>
      <c r="AQ71" s="3">
        <f t="shared" ca="1" si="33"/>
        <v>0</v>
      </c>
      <c r="AR71" s="3">
        <f t="shared" ca="1" si="33"/>
        <v>0</v>
      </c>
      <c r="AS71" s="3">
        <f t="shared" ca="1" si="33"/>
        <v>0</v>
      </c>
      <c r="AT71" s="3">
        <f t="shared" ca="1" si="33"/>
        <v>0</v>
      </c>
      <c r="AU71" s="3">
        <f t="shared" ca="1" si="33"/>
        <v>0</v>
      </c>
      <c r="AV71" s="3">
        <f t="shared" ca="1" si="33"/>
        <v>0</v>
      </c>
      <c r="AW71" s="3">
        <f t="shared" ca="1" si="33"/>
        <v>0</v>
      </c>
      <c r="AX71" s="3">
        <f t="shared" ca="1" si="33"/>
        <v>0</v>
      </c>
      <c r="AY71" s="3">
        <f t="shared" ca="1" si="33"/>
        <v>0</v>
      </c>
      <c r="AZ71" s="3">
        <f t="shared" ca="1" si="33"/>
        <v>0</v>
      </c>
      <c r="BA71" s="3">
        <f t="shared" ca="1" si="33"/>
        <v>0</v>
      </c>
      <c r="BB71" s="3">
        <f t="shared" ca="1" si="33"/>
        <v>0</v>
      </c>
      <c r="BC71" s="3">
        <f t="shared" ca="1" si="33"/>
        <v>0</v>
      </c>
      <c r="BD71" s="3">
        <f t="shared" ca="1" si="33"/>
        <v>0</v>
      </c>
      <c r="BE71" s="3">
        <f t="shared" ca="1" si="33"/>
        <v>0</v>
      </c>
      <c r="BF71" s="3">
        <f t="shared" ca="1" si="33"/>
        <v>0</v>
      </c>
      <c r="BG71" s="3">
        <f t="shared" ca="1" si="33"/>
        <v>0</v>
      </c>
      <c r="BH71" s="3">
        <f t="shared" ca="1" si="33"/>
        <v>0</v>
      </c>
      <c r="BI71" s="3">
        <f t="shared" ca="1" si="33"/>
        <v>0</v>
      </c>
      <c r="BJ71" s="3">
        <f t="shared" ca="1" si="33"/>
        <v>0</v>
      </c>
      <c r="BK71" s="153">
        <f t="shared" ca="1" si="33"/>
        <v>0</v>
      </c>
      <c r="BL71" s="3">
        <f t="shared" ca="1" si="33"/>
        <v>0</v>
      </c>
      <c r="BM71" s="3">
        <f t="shared" ca="1" si="33"/>
        <v>0</v>
      </c>
      <c r="BN71" s="3">
        <f t="shared" ca="1" si="33"/>
        <v>0</v>
      </c>
      <c r="BO71" s="3">
        <f t="shared" ca="1" si="33"/>
        <v>0</v>
      </c>
      <c r="BP71" s="3">
        <f t="shared" ref="BP71:CY71" ca="1" si="34">BP63-BP54</f>
        <v>0</v>
      </c>
      <c r="BQ71" s="3">
        <f t="shared" ca="1" si="34"/>
        <v>0</v>
      </c>
      <c r="BR71" s="3">
        <f t="shared" ca="1" si="34"/>
        <v>0</v>
      </c>
      <c r="BS71" s="3">
        <f t="shared" ca="1" si="34"/>
        <v>0</v>
      </c>
      <c r="BT71" s="3">
        <f t="shared" ca="1" si="34"/>
        <v>0</v>
      </c>
      <c r="BU71" s="3">
        <f t="shared" ca="1" si="34"/>
        <v>0</v>
      </c>
      <c r="BV71" s="3">
        <f t="shared" ca="1" si="34"/>
        <v>0</v>
      </c>
      <c r="BW71" s="3">
        <f t="shared" ca="1" si="34"/>
        <v>0</v>
      </c>
      <c r="BX71" s="3">
        <f t="shared" ca="1" si="34"/>
        <v>0</v>
      </c>
      <c r="BY71" s="3">
        <f t="shared" ca="1" si="34"/>
        <v>0</v>
      </c>
      <c r="BZ71" s="3">
        <f t="shared" ca="1" si="34"/>
        <v>0</v>
      </c>
      <c r="CA71" s="153">
        <f t="shared" ca="1" si="34"/>
        <v>0</v>
      </c>
      <c r="CB71" s="3">
        <f t="shared" ca="1" si="34"/>
        <v>0</v>
      </c>
      <c r="CC71" s="3">
        <f t="shared" ca="1" si="34"/>
        <v>0</v>
      </c>
      <c r="CD71" s="3">
        <f t="shared" ca="1" si="34"/>
        <v>0</v>
      </c>
      <c r="CE71" s="3">
        <f t="shared" ca="1" si="34"/>
        <v>0</v>
      </c>
      <c r="CF71" s="3">
        <f t="shared" ca="1" si="34"/>
        <v>0</v>
      </c>
      <c r="CG71" s="3">
        <f t="shared" ca="1" si="34"/>
        <v>0</v>
      </c>
      <c r="CH71" s="3">
        <f t="shared" ca="1" si="34"/>
        <v>0</v>
      </c>
      <c r="CI71" s="3">
        <f t="shared" ca="1" si="34"/>
        <v>0</v>
      </c>
      <c r="CJ71" s="3">
        <f t="shared" ca="1" si="34"/>
        <v>0</v>
      </c>
      <c r="CK71" s="3">
        <f t="shared" ca="1" si="34"/>
        <v>0</v>
      </c>
      <c r="CL71" s="3">
        <f t="shared" ca="1" si="34"/>
        <v>0</v>
      </c>
      <c r="CM71" s="3">
        <f t="shared" ca="1" si="34"/>
        <v>0</v>
      </c>
      <c r="CN71" s="3">
        <f t="shared" ca="1" si="34"/>
        <v>0</v>
      </c>
      <c r="CO71" s="3">
        <f t="shared" ca="1" si="34"/>
        <v>0</v>
      </c>
      <c r="CP71" s="3">
        <f t="shared" ca="1" si="34"/>
        <v>0</v>
      </c>
      <c r="CQ71" s="3">
        <f t="shared" ca="1" si="34"/>
        <v>0</v>
      </c>
      <c r="CR71" s="3">
        <f t="shared" ca="1" si="34"/>
        <v>0</v>
      </c>
      <c r="CS71" s="3">
        <f t="shared" ca="1" si="34"/>
        <v>0</v>
      </c>
      <c r="CT71" s="3">
        <f t="shared" ca="1" si="34"/>
        <v>0</v>
      </c>
      <c r="CU71" s="3">
        <f t="shared" ca="1" si="34"/>
        <v>0</v>
      </c>
      <c r="CV71" s="3">
        <f t="shared" ca="1" si="34"/>
        <v>0</v>
      </c>
      <c r="CW71" s="3">
        <f t="shared" ca="1" si="34"/>
        <v>0</v>
      </c>
      <c r="CX71" s="3">
        <f t="shared" ca="1" si="34"/>
        <v>0</v>
      </c>
      <c r="CY71" s="3">
        <f t="shared" ca="1" si="34"/>
        <v>0</v>
      </c>
    </row>
    <row r="72" spans="1:103" ht="15" customHeight="1" thickBot="1" x14ac:dyDescent="0.25">
      <c r="A72" s="89"/>
      <c r="B72" s="49"/>
      <c r="C72" s="271"/>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149"/>
      <c r="AP72" s="4"/>
      <c r="AQ72" s="4"/>
      <c r="AR72" s="4"/>
      <c r="AS72" s="4"/>
      <c r="AT72" s="4"/>
      <c r="AU72" s="4"/>
      <c r="AV72" s="4"/>
      <c r="AW72" s="4"/>
      <c r="AX72" s="4"/>
      <c r="AY72" s="4"/>
      <c r="AZ72" s="4"/>
      <c r="BA72" s="4"/>
      <c r="BB72" s="4"/>
      <c r="BC72" s="4"/>
      <c r="BD72" s="4"/>
      <c r="BE72" s="4"/>
      <c r="BF72" s="4"/>
      <c r="BG72" s="4"/>
      <c r="BH72" s="4"/>
      <c r="BI72" s="4"/>
      <c r="BJ72" s="4"/>
      <c r="BK72" s="149"/>
      <c r="BL72" s="4"/>
      <c r="BM72" s="4"/>
      <c r="BN72" s="4"/>
      <c r="BO72" s="4"/>
      <c r="BP72" s="4"/>
      <c r="BQ72" s="4"/>
      <c r="BR72" s="4"/>
      <c r="BS72" s="4"/>
      <c r="BT72" s="4"/>
      <c r="BU72" s="4"/>
      <c r="BV72" s="4"/>
      <c r="BW72" s="4"/>
      <c r="BX72" s="4"/>
      <c r="BY72" s="4"/>
      <c r="BZ72" s="4"/>
      <c r="CA72" s="149"/>
      <c r="CB72" s="4"/>
      <c r="CC72" s="4"/>
      <c r="CD72" s="4"/>
      <c r="CE72" s="4"/>
      <c r="CF72" s="4"/>
      <c r="CG72" s="4"/>
      <c r="CH72" s="4"/>
      <c r="CI72" s="4"/>
      <c r="CJ72" s="4"/>
      <c r="CK72" s="4"/>
      <c r="CL72" s="4"/>
      <c r="CM72" s="4"/>
      <c r="CN72" s="4"/>
      <c r="CO72" s="4"/>
      <c r="CP72" s="4"/>
      <c r="CQ72" s="4"/>
      <c r="CR72" s="4"/>
      <c r="CS72" s="4"/>
      <c r="CT72" s="4"/>
      <c r="CU72" s="4"/>
      <c r="CV72" s="4"/>
      <c r="CW72" s="4"/>
      <c r="CX72" s="4"/>
      <c r="CY72" s="4"/>
    </row>
    <row r="73" spans="1:103" ht="15" customHeight="1" x14ac:dyDescent="0.2">
      <c r="A73" s="100" t="s">
        <v>62</v>
      </c>
      <c r="B73" s="101"/>
      <c r="C73" s="276" t="e">
        <f ca="1">SUM(D73:CY73)</f>
        <v>#REF!</v>
      </c>
      <c r="D73" s="120" t="e">
        <f ca="1">D70-D67</f>
        <v>#REF!</v>
      </c>
      <c r="E73" s="120">
        <f ca="1">E70-E67</f>
        <v>0</v>
      </c>
      <c r="F73" s="120">
        <f t="shared" ref="F73:BQ73" ca="1" si="35">F70-F67</f>
        <v>0</v>
      </c>
      <c r="G73" s="120">
        <f t="shared" ca="1" si="35"/>
        <v>0</v>
      </c>
      <c r="H73" s="120">
        <f t="shared" ca="1" si="35"/>
        <v>0</v>
      </c>
      <c r="I73" s="120">
        <f t="shared" ca="1" si="35"/>
        <v>0</v>
      </c>
      <c r="J73" s="120">
        <f t="shared" ca="1" si="35"/>
        <v>0</v>
      </c>
      <c r="K73" s="120">
        <f t="shared" ca="1" si="35"/>
        <v>0</v>
      </c>
      <c r="L73" s="120">
        <f t="shared" ca="1" si="35"/>
        <v>0</v>
      </c>
      <c r="M73" s="120">
        <f t="shared" ca="1" si="35"/>
        <v>0</v>
      </c>
      <c r="N73" s="120">
        <f t="shared" ca="1" si="35"/>
        <v>0</v>
      </c>
      <c r="O73" s="120">
        <f t="shared" ca="1" si="35"/>
        <v>0</v>
      </c>
      <c r="P73" s="120">
        <f t="shared" ca="1" si="35"/>
        <v>0</v>
      </c>
      <c r="Q73" s="120">
        <f t="shared" ca="1" si="35"/>
        <v>0</v>
      </c>
      <c r="R73" s="120">
        <f t="shared" ca="1" si="35"/>
        <v>0</v>
      </c>
      <c r="S73" s="120">
        <f t="shared" ca="1" si="35"/>
        <v>0</v>
      </c>
      <c r="T73" s="120">
        <f t="shared" ca="1" si="35"/>
        <v>0</v>
      </c>
      <c r="U73" s="120">
        <f t="shared" ca="1" si="35"/>
        <v>0</v>
      </c>
      <c r="V73" s="120">
        <f t="shared" ca="1" si="35"/>
        <v>0</v>
      </c>
      <c r="W73" s="120">
        <f t="shared" ca="1" si="35"/>
        <v>0</v>
      </c>
      <c r="X73" s="120">
        <f t="shared" ca="1" si="35"/>
        <v>0</v>
      </c>
      <c r="Y73" s="120">
        <f t="shared" ca="1" si="35"/>
        <v>0</v>
      </c>
      <c r="Z73" s="120">
        <f t="shared" ca="1" si="35"/>
        <v>0</v>
      </c>
      <c r="AA73" s="120">
        <f t="shared" ca="1" si="35"/>
        <v>0</v>
      </c>
      <c r="AB73" s="120">
        <f t="shared" ca="1" si="35"/>
        <v>0</v>
      </c>
      <c r="AC73" s="120">
        <f t="shared" ca="1" si="35"/>
        <v>0</v>
      </c>
      <c r="AD73" s="120">
        <f t="shared" ca="1" si="35"/>
        <v>0</v>
      </c>
      <c r="AE73" s="120">
        <f t="shared" ca="1" si="35"/>
        <v>0</v>
      </c>
      <c r="AF73" s="120">
        <f t="shared" ca="1" si="35"/>
        <v>0</v>
      </c>
      <c r="AG73" s="120">
        <f t="shared" ca="1" si="35"/>
        <v>0</v>
      </c>
      <c r="AH73" s="120">
        <f t="shared" ca="1" si="35"/>
        <v>0</v>
      </c>
      <c r="AI73" s="120">
        <f t="shared" ca="1" si="35"/>
        <v>0</v>
      </c>
      <c r="AJ73" s="120">
        <f t="shared" ca="1" si="35"/>
        <v>0</v>
      </c>
      <c r="AK73" s="120">
        <f t="shared" ca="1" si="35"/>
        <v>0</v>
      </c>
      <c r="AL73" s="120">
        <f t="shared" ca="1" si="35"/>
        <v>0</v>
      </c>
      <c r="AM73" s="120">
        <f t="shared" ca="1" si="35"/>
        <v>0</v>
      </c>
      <c r="AN73" s="120">
        <f t="shared" ca="1" si="35"/>
        <v>0</v>
      </c>
      <c r="AO73" s="154">
        <f t="shared" ca="1" si="35"/>
        <v>0</v>
      </c>
      <c r="AP73" s="120">
        <f t="shared" ca="1" si="35"/>
        <v>0</v>
      </c>
      <c r="AQ73" s="120">
        <f t="shared" ca="1" si="35"/>
        <v>0</v>
      </c>
      <c r="AR73" s="120">
        <f t="shared" ca="1" si="35"/>
        <v>0</v>
      </c>
      <c r="AS73" s="120">
        <f t="shared" ca="1" si="35"/>
        <v>0</v>
      </c>
      <c r="AT73" s="120">
        <f t="shared" ca="1" si="35"/>
        <v>0</v>
      </c>
      <c r="AU73" s="120">
        <f t="shared" ca="1" si="35"/>
        <v>0</v>
      </c>
      <c r="AV73" s="120">
        <f t="shared" ca="1" si="35"/>
        <v>0</v>
      </c>
      <c r="AW73" s="120">
        <f t="shared" ca="1" si="35"/>
        <v>0</v>
      </c>
      <c r="AX73" s="120">
        <f t="shared" ca="1" si="35"/>
        <v>0</v>
      </c>
      <c r="AY73" s="120">
        <f t="shared" ca="1" si="35"/>
        <v>0</v>
      </c>
      <c r="AZ73" s="120">
        <f t="shared" ca="1" si="35"/>
        <v>0</v>
      </c>
      <c r="BA73" s="120">
        <f t="shared" ca="1" si="35"/>
        <v>0</v>
      </c>
      <c r="BB73" s="120">
        <f t="shared" ca="1" si="35"/>
        <v>0</v>
      </c>
      <c r="BC73" s="120">
        <f t="shared" ca="1" si="35"/>
        <v>0</v>
      </c>
      <c r="BD73" s="120">
        <f t="shared" ca="1" si="35"/>
        <v>0</v>
      </c>
      <c r="BE73" s="120">
        <f t="shared" ca="1" si="35"/>
        <v>0</v>
      </c>
      <c r="BF73" s="120">
        <f t="shared" ca="1" si="35"/>
        <v>0</v>
      </c>
      <c r="BG73" s="120">
        <f t="shared" ca="1" si="35"/>
        <v>0</v>
      </c>
      <c r="BH73" s="120">
        <f t="shared" ca="1" si="35"/>
        <v>0</v>
      </c>
      <c r="BI73" s="120">
        <f t="shared" ca="1" si="35"/>
        <v>0</v>
      </c>
      <c r="BJ73" s="120">
        <f t="shared" ca="1" si="35"/>
        <v>0</v>
      </c>
      <c r="BK73" s="154">
        <f t="shared" ca="1" si="35"/>
        <v>0</v>
      </c>
      <c r="BL73" s="120">
        <f t="shared" ca="1" si="35"/>
        <v>0</v>
      </c>
      <c r="BM73" s="120">
        <f t="shared" ca="1" si="35"/>
        <v>0</v>
      </c>
      <c r="BN73" s="120">
        <f t="shared" ca="1" si="35"/>
        <v>0</v>
      </c>
      <c r="BO73" s="120">
        <f t="shared" ca="1" si="35"/>
        <v>0</v>
      </c>
      <c r="BP73" s="120">
        <f t="shared" ca="1" si="35"/>
        <v>0</v>
      </c>
      <c r="BQ73" s="120">
        <f t="shared" ca="1" si="35"/>
        <v>0</v>
      </c>
      <c r="BR73" s="120">
        <f t="shared" ref="BR73:CY73" ca="1" si="36">BR70-BR67</f>
        <v>0</v>
      </c>
      <c r="BS73" s="120">
        <f t="shared" ca="1" si="36"/>
        <v>0</v>
      </c>
      <c r="BT73" s="120">
        <f t="shared" ca="1" si="36"/>
        <v>0</v>
      </c>
      <c r="BU73" s="120">
        <f t="shared" ca="1" si="36"/>
        <v>0</v>
      </c>
      <c r="BV73" s="120">
        <f t="shared" ca="1" si="36"/>
        <v>0</v>
      </c>
      <c r="BW73" s="120">
        <f t="shared" ca="1" si="36"/>
        <v>0</v>
      </c>
      <c r="BX73" s="120">
        <f t="shared" ca="1" si="36"/>
        <v>0</v>
      </c>
      <c r="BY73" s="120">
        <f t="shared" ca="1" si="36"/>
        <v>0</v>
      </c>
      <c r="BZ73" s="120">
        <f t="shared" ca="1" si="36"/>
        <v>0</v>
      </c>
      <c r="CA73" s="154">
        <f t="shared" ca="1" si="36"/>
        <v>0</v>
      </c>
      <c r="CB73" s="120">
        <f t="shared" ca="1" si="36"/>
        <v>0</v>
      </c>
      <c r="CC73" s="120">
        <f t="shared" ca="1" si="36"/>
        <v>0</v>
      </c>
      <c r="CD73" s="120">
        <f t="shared" ca="1" si="36"/>
        <v>0</v>
      </c>
      <c r="CE73" s="120">
        <f t="shared" ca="1" si="36"/>
        <v>0</v>
      </c>
      <c r="CF73" s="120">
        <f t="shared" ca="1" si="36"/>
        <v>0</v>
      </c>
      <c r="CG73" s="120">
        <f t="shared" ca="1" si="36"/>
        <v>0</v>
      </c>
      <c r="CH73" s="120">
        <f t="shared" ca="1" si="36"/>
        <v>0</v>
      </c>
      <c r="CI73" s="120">
        <f t="shared" ca="1" si="36"/>
        <v>0</v>
      </c>
      <c r="CJ73" s="120">
        <f t="shared" ca="1" si="36"/>
        <v>0</v>
      </c>
      <c r="CK73" s="120">
        <f t="shared" ca="1" si="36"/>
        <v>0</v>
      </c>
      <c r="CL73" s="120">
        <f t="shared" ca="1" si="36"/>
        <v>0</v>
      </c>
      <c r="CM73" s="120">
        <f t="shared" ca="1" si="36"/>
        <v>0</v>
      </c>
      <c r="CN73" s="120">
        <f t="shared" ca="1" si="36"/>
        <v>0</v>
      </c>
      <c r="CO73" s="120">
        <f t="shared" ca="1" si="36"/>
        <v>0</v>
      </c>
      <c r="CP73" s="120">
        <f t="shared" ca="1" si="36"/>
        <v>0</v>
      </c>
      <c r="CQ73" s="120">
        <f t="shared" ca="1" si="36"/>
        <v>0</v>
      </c>
      <c r="CR73" s="120">
        <f t="shared" ca="1" si="36"/>
        <v>0</v>
      </c>
      <c r="CS73" s="120">
        <f t="shared" ca="1" si="36"/>
        <v>0</v>
      </c>
      <c r="CT73" s="120">
        <f t="shared" ca="1" si="36"/>
        <v>0</v>
      </c>
      <c r="CU73" s="120">
        <f t="shared" ca="1" si="36"/>
        <v>0</v>
      </c>
      <c r="CV73" s="120">
        <f t="shared" ca="1" si="36"/>
        <v>0</v>
      </c>
      <c r="CW73" s="120">
        <f t="shared" ca="1" si="36"/>
        <v>0</v>
      </c>
      <c r="CX73" s="120">
        <f t="shared" ca="1" si="36"/>
        <v>0</v>
      </c>
      <c r="CY73" s="120">
        <f t="shared" ca="1" si="36"/>
        <v>0</v>
      </c>
    </row>
    <row r="74" spans="1:103" ht="15" customHeight="1" thickBot="1" x14ac:dyDescent="0.25">
      <c r="A74" s="102" t="s">
        <v>63</v>
      </c>
      <c r="B74" s="103"/>
      <c r="C74" s="277" t="e">
        <f ca="1">SUM(D74:CY74)</f>
        <v>#REF!</v>
      </c>
      <c r="D74" s="121" t="e">
        <f ca="1">D71-D68</f>
        <v>#REF!</v>
      </c>
      <c r="E74" s="121">
        <f ca="1">E71-E68</f>
        <v>0</v>
      </c>
      <c r="F74" s="121">
        <f t="shared" ref="F74:BQ74" ca="1" si="37">F71-F68</f>
        <v>0</v>
      </c>
      <c r="G74" s="121">
        <f t="shared" ca="1" si="37"/>
        <v>0</v>
      </c>
      <c r="H74" s="121">
        <f t="shared" ca="1" si="37"/>
        <v>0</v>
      </c>
      <c r="I74" s="121">
        <f t="shared" ca="1" si="37"/>
        <v>0</v>
      </c>
      <c r="J74" s="121">
        <f t="shared" ca="1" si="37"/>
        <v>0</v>
      </c>
      <c r="K74" s="121">
        <f t="shared" ca="1" si="37"/>
        <v>0</v>
      </c>
      <c r="L74" s="121">
        <f t="shared" ca="1" si="37"/>
        <v>0</v>
      </c>
      <c r="M74" s="121">
        <f t="shared" ca="1" si="37"/>
        <v>0</v>
      </c>
      <c r="N74" s="121">
        <f t="shared" ca="1" si="37"/>
        <v>0</v>
      </c>
      <c r="O74" s="121">
        <f t="shared" ca="1" si="37"/>
        <v>0</v>
      </c>
      <c r="P74" s="121">
        <f t="shared" ca="1" si="37"/>
        <v>0</v>
      </c>
      <c r="Q74" s="121">
        <f t="shared" ca="1" si="37"/>
        <v>0</v>
      </c>
      <c r="R74" s="121">
        <f t="shared" ca="1" si="37"/>
        <v>0</v>
      </c>
      <c r="S74" s="121">
        <f t="shared" ca="1" si="37"/>
        <v>0</v>
      </c>
      <c r="T74" s="121">
        <f t="shared" ca="1" si="37"/>
        <v>0</v>
      </c>
      <c r="U74" s="121">
        <f t="shared" ca="1" si="37"/>
        <v>0</v>
      </c>
      <c r="V74" s="121">
        <f t="shared" ca="1" si="37"/>
        <v>0</v>
      </c>
      <c r="W74" s="121">
        <f t="shared" ca="1" si="37"/>
        <v>0</v>
      </c>
      <c r="X74" s="121">
        <f t="shared" ca="1" si="37"/>
        <v>0</v>
      </c>
      <c r="Y74" s="121">
        <f t="shared" ca="1" si="37"/>
        <v>0</v>
      </c>
      <c r="Z74" s="121">
        <f t="shared" ca="1" si="37"/>
        <v>0</v>
      </c>
      <c r="AA74" s="121">
        <f t="shared" ca="1" si="37"/>
        <v>0</v>
      </c>
      <c r="AB74" s="121">
        <f t="shared" ca="1" si="37"/>
        <v>0</v>
      </c>
      <c r="AC74" s="121">
        <f t="shared" ca="1" si="37"/>
        <v>0</v>
      </c>
      <c r="AD74" s="121">
        <f t="shared" ca="1" si="37"/>
        <v>0</v>
      </c>
      <c r="AE74" s="121">
        <f t="shared" ca="1" si="37"/>
        <v>0</v>
      </c>
      <c r="AF74" s="121">
        <f t="shared" ca="1" si="37"/>
        <v>0</v>
      </c>
      <c r="AG74" s="121">
        <f t="shared" ca="1" si="37"/>
        <v>0</v>
      </c>
      <c r="AH74" s="121">
        <f t="shared" ca="1" si="37"/>
        <v>0</v>
      </c>
      <c r="AI74" s="121">
        <f t="shared" ca="1" si="37"/>
        <v>0</v>
      </c>
      <c r="AJ74" s="121">
        <f t="shared" ca="1" si="37"/>
        <v>0</v>
      </c>
      <c r="AK74" s="121">
        <f t="shared" ca="1" si="37"/>
        <v>0</v>
      </c>
      <c r="AL74" s="121">
        <f t="shared" ca="1" si="37"/>
        <v>0</v>
      </c>
      <c r="AM74" s="121">
        <f t="shared" ca="1" si="37"/>
        <v>0</v>
      </c>
      <c r="AN74" s="121">
        <f t="shared" ca="1" si="37"/>
        <v>0</v>
      </c>
      <c r="AO74" s="155">
        <f t="shared" ca="1" si="37"/>
        <v>0</v>
      </c>
      <c r="AP74" s="121">
        <f t="shared" ca="1" si="37"/>
        <v>0</v>
      </c>
      <c r="AQ74" s="121">
        <f t="shared" ca="1" si="37"/>
        <v>0</v>
      </c>
      <c r="AR74" s="121">
        <f t="shared" ca="1" si="37"/>
        <v>0</v>
      </c>
      <c r="AS74" s="121">
        <f t="shared" ca="1" si="37"/>
        <v>0</v>
      </c>
      <c r="AT74" s="121">
        <f t="shared" ca="1" si="37"/>
        <v>0</v>
      </c>
      <c r="AU74" s="121">
        <f t="shared" ca="1" si="37"/>
        <v>0</v>
      </c>
      <c r="AV74" s="121">
        <f t="shared" ca="1" si="37"/>
        <v>0</v>
      </c>
      <c r="AW74" s="121">
        <f t="shared" ca="1" si="37"/>
        <v>0</v>
      </c>
      <c r="AX74" s="121">
        <f t="shared" ca="1" si="37"/>
        <v>0</v>
      </c>
      <c r="AY74" s="121">
        <f t="shared" ca="1" si="37"/>
        <v>0</v>
      </c>
      <c r="AZ74" s="121">
        <f t="shared" ca="1" si="37"/>
        <v>0</v>
      </c>
      <c r="BA74" s="121">
        <f t="shared" ca="1" si="37"/>
        <v>0</v>
      </c>
      <c r="BB74" s="121">
        <f t="shared" ca="1" si="37"/>
        <v>0</v>
      </c>
      <c r="BC74" s="121">
        <f t="shared" ca="1" si="37"/>
        <v>0</v>
      </c>
      <c r="BD74" s="121">
        <f t="shared" ca="1" si="37"/>
        <v>0</v>
      </c>
      <c r="BE74" s="121">
        <f t="shared" ca="1" si="37"/>
        <v>0</v>
      </c>
      <c r="BF74" s="121">
        <f t="shared" ca="1" si="37"/>
        <v>0</v>
      </c>
      <c r="BG74" s="121">
        <f t="shared" ca="1" si="37"/>
        <v>0</v>
      </c>
      <c r="BH74" s="121">
        <f t="shared" ca="1" si="37"/>
        <v>0</v>
      </c>
      <c r="BI74" s="121">
        <f t="shared" ca="1" si="37"/>
        <v>0</v>
      </c>
      <c r="BJ74" s="121">
        <f t="shared" ca="1" si="37"/>
        <v>0</v>
      </c>
      <c r="BK74" s="155">
        <f t="shared" ca="1" si="37"/>
        <v>0</v>
      </c>
      <c r="BL74" s="121">
        <f t="shared" ca="1" si="37"/>
        <v>0</v>
      </c>
      <c r="BM74" s="121">
        <f t="shared" ca="1" si="37"/>
        <v>0</v>
      </c>
      <c r="BN74" s="121">
        <f t="shared" ca="1" si="37"/>
        <v>0</v>
      </c>
      <c r="BO74" s="121">
        <f t="shared" ca="1" si="37"/>
        <v>0</v>
      </c>
      <c r="BP74" s="121">
        <f t="shared" ca="1" si="37"/>
        <v>0</v>
      </c>
      <c r="BQ74" s="121">
        <f t="shared" ca="1" si="37"/>
        <v>0</v>
      </c>
      <c r="BR74" s="121">
        <f t="shared" ref="BR74:CY74" ca="1" si="38">BR71-BR68</f>
        <v>0</v>
      </c>
      <c r="BS74" s="121">
        <f t="shared" ca="1" si="38"/>
        <v>0</v>
      </c>
      <c r="BT74" s="121">
        <f t="shared" ca="1" si="38"/>
        <v>0</v>
      </c>
      <c r="BU74" s="121">
        <f t="shared" ca="1" si="38"/>
        <v>0</v>
      </c>
      <c r="BV74" s="121">
        <f t="shared" ca="1" si="38"/>
        <v>0</v>
      </c>
      <c r="BW74" s="121">
        <f t="shared" ca="1" si="38"/>
        <v>0</v>
      </c>
      <c r="BX74" s="121">
        <f t="shared" ca="1" si="38"/>
        <v>0</v>
      </c>
      <c r="BY74" s="121">
        <f t="shared" ca="1" si="38"/>
        <v>0</v>
      </c>
      <c r="BZ74" s="121">
        <f t="shared" ca="1" si="38"/>
        <v>0</v>
      </c>
      <c r="CA74" s="155">
        <f t="shared" ca="1" si="38"/>
        <v>0</v>
      </c>
      <c r="CB74" s="121">
        <f t="shared" ca="1" si="38"/>
        <v>0</v>
      </c>
      <c r="CC74" s="121">
        <f t="shared" ca="1" si="38"/>
        <v>0</v>
      </c>
      <c r="CD74" s="121">
        <f t="shared" ca="1" si="38"/>
        <v>0</v>
      </c>
      <c r="CE74" s="121">
        <f t="shared" ca="1" si="38"/>
        <v>0</v>
      </c>
      <c r="CF74" s="121">
        <f t="shared" ca="1" si="38"/>
        <v>0</v>
      </c>
      <c r="CG74" s="121">
        <f t="shared" ca="1" si="38"/>
        <v>0</v>
      </c>
      <c r="CH74" s="121">
        <f t="shared" ca="1" si="38"/>
        <v>0</v>
      </c>
      <c r="CI74" s="121">
        <f t="shared" ca="1" si="38"/>
        <v>0</v>
      </c>
      <c r="CJ74" s="121">
        <f t="shared" ca="1" si="38"/>
        <v>0</v>
      </c>
      <c r="CK74" s="121">
        <f t="shared" ca="1" si="38"/>
        <v>0</v>
      </c>
      <c r="CL74" s="121">
        <f t="shared" ca="1" si="38"/>
        <v>0</v>
      </c>
      <c r="CM74" s="121">
        <f t="shared" ca="1" si="38"/>
        <v>0</v>
      </c>
      <c r="CN74" s="121">
        <f t="shared" ca="1" si="38"/>
        <v>0</v>
      </c>
      <c r="CO74" s="121">
        <f t="shared" ca="1" si="38"/>
        <v>0</v>
      </c>
      <c r="CP74" s="121">
        <f t="shared" ca="1" si="38"/>
        <v>0</v>
      </c>
      <c r="CQ74" s="121">
        <f t="shared" ca="1" si="38"/>
        <v>0</v>
      </c>
      <c r="CR74" s="121">
        <f t="shared" ca="1" si="38"/>
        <v>0</v>
      </c>
      <c r="CS74" s="121">
        <f t="shared" ca="1" si="38"/>
        <v>0</v>
      </c>
      <c r="CT74" s="121">
        <f t="shared" ca="1" si="38"/>
        <v>0</v>
      </c>
      <c r="CU74" s="121">
        <f t="shared" ca="1" si="38"/>
        <v>0</v>
      </c>
      <c r="CV74" s="121">
        <f t="shared" ca="1" si="38"/>
        <v>0</v>
      </c>
      <c r="CW74" s="121">
        <f t="shared" ca="1" si="38"/>
        <v>0</v>
      </c>
      <c r="CX74" s="121">
        <f t="shared" ca="1" si="38"/>
        <v>0</v>
      </c>
      <c r="CY74" s="121">
        <f t="shared" ca="1" si="38"/>
        <v>0</v>
      </c>
    </row>
    <row r="75" spans="1:103" ht="15" customHeight="1" x14ac:dyDescent="0.2">
      <c r="A75" s="48"/>
      <c r="B75" s="49"/>
      <c r="C75" s="271"/>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149"/>
      <c r="AP75" s="4"/>
      <c r="AQ75" s="4"/>
      <c r="AR75" s="4"/>
      <c r="AS75" s="4"/>
      <c r="AT75" s="4"/>
      <c r="AU75" s="4"/>
      <c r="AV75" s="4"/>
      <c r="AW75" s="4"/>
      <c r="AX75" s="4"/>
      <c r="AY75" s="4"/>
      <c r="AZ75" s="4"/>
      <c r="BA75" s="4"/>
      <c r="BB75" s="4"/>
      <c r="BC75" s="4"/>
      <c r="BD75" s="4"/>
      <c r="BE75" s="4"/>
      <c r="BF75" s="4"/>
      <c r="BG75" s="4"/>
      <c r="BH75" s="4"/>
      <c r="BI75" s="4"/>
      <c r="BJ75" s="4"/>
      <c r="BK75" s="149"/>
      <c r="BL75" s="4"/>
      <c r="BM75" s="4"/>
      <c r="BN75" s="4"/>
      <c r="BO75" s="4"/>
      <c r="BP75" s="4"/>
      <c r="BQ75" s="4"/>
      <c r="BR75" s="4"/>
      <c r="BS75" s="4"/>
      <c r="BT75" s="4"/>
      <c r="BU75" s="4"/>
      <c r="BV75" s="4"/>
      <c r="BW75" s="4"/>
      <c r="BX75" s="4"/>
      <c r="BY75" s="4"/>
      <c r="BZ75" s="4"/>
      <c r="CA75" s="149"/>
      <c r="CB75" s="4"/>
      <c r="CC75" s="4"/>
      <c r="CD75" s="4"/>
      <c r="CE75" s="4"/>
      <c r="CF75" s="4"/>
      <c r="CG75" s="4"/>
      <c r="CH75" s="4"/>
      <c r="CI75" s="4"/>
      <c r="CJ75" s="4"/>
      <c r="CK75" s="4"/>
      <c r="CL75" s="4"/>
      <c r="CM75" s="4"/>
      <c r="CN75" s="4"/>
      <c r="CO75" s="4"/>
      <c r="CP75" s="4"/>
      <c r="CQ75" s="4"/>
      <c r="CR75" s="4"/>
      <c r="CS75" s="4"/>
      <c r="CT75" s="4"/>
      <c r="CU75" s="4"/>
      <c r="CV75" s="4"/>
      <c r="CW75" s="4"/>
      <c r="CX75" s="4"/>
      <c r="CY75" s="4"/>
    </row>
    <row r="76" spans="1:103" ht="15" customHeight="1" thickBot="1" x14ac:dyDescent="0.25">
      <c r="A76" s="301" t="s">
        <v>74</v>
      </c>
      <c r="B76" s="49"/>
      <c r="C76" s="271"/>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149"/>
      <c r="AP76" s="4"/>
      <c r="AQ76" s="4"/>
      <c r="AR76" s="4"/>
      <c r="AS76" s="4"/>
      <c r="AT76" s="4"/>
      <c r="AU76" s="4"/>
      <c r="AV76" s="4"/>
      <c r="AW76" s="4"/>
      <c r="AX76" s="4"/>
      <c r="AY76" s="4"/>
      <c r="AZ76" s="4"/>
      <c r="BA76" s="4"/>
      <c r="BB76" s="4"/>
      <c r="BC76" s="4"/>
      <c r="BD76" s="4"/>
      <c r="BE76" s="4"/>
      <c r="BF76" s="4"/>
      <c r="BG76" s="4"/>
      <c r="BH76" s="4"/>
      <c r="BI76" s="4"/>
      <c r="BJ76" s="4"/>
      <c r="BK76" s="149"/>
      <c r="BL76" s="4"/>
      <c r="BM76" s="4"/>
      <c r="BN76" s="4"/>
      <c r="BO76" s="4"/>
      <c r="BP76" s="4"/>
      <c r="BQ76" s="4"/>
      <c r="BR76" s="4"/>
      <c r="BS76" s="4"/>
      <c r="BT76" s="4"/>
      <c r="BU76" s="4"/>
      <c r="BV76" s="4"/>
      <c r="BW76" s="4"/>
      <c r="BX76" s="4"/>
      <c r="BY76" s="4"/>
      <c r="BZ76" s="4"/>
      <c r="CA76" s="149"/>
      <c r="CB76" s="4"/>
      <c r="CC76" s="4"/>
      <c r="CD76" s="4"/>
      <c r="CE76" s="4"/>
      <c r="CF76" s="4"/>
      <c r="CG76" s="4"/>
      <c r="CH76" s="4"/>
      <c r="CI76" s="4"/>
      <c r="CJ76" s="4"/>
      <c r="CK76" s="4"/>
      <c r="CL76" s="4"/>
      <c r="CM76" s="4"/>
      <c r="CN76" s="4"/>
      <c r="CO76" s="4"/>
      <c r="CP76" s="4"/>
      <c r="CQ76" s="4"/>
      <c r="CR76" s="4"/>
      <c r="CS76" s="4"/>
      <c r="CT76" s="4"/>
      <c r="CU76" s="4"/>
      <c r="CV76" s="4"/>
      <c r="CW76" s="4"/>
      <c r="CX76" s="4"/>
      <c r="CY76" s="4"/>
    </row>
    <row r="77" spans="1:103" ht="15" customHeight="1" thickBot="1" x14ac:dyDescent="0.25">
      <c r="A77" s="173" t="s">
        <v>275</v>
      </c>
      <c r="B77" s="174"/>
      <c r="C77" s="278"/>
      <c r="D77" s="175">
        <f>IF('Data Entry'!$G$4="3.5% Declining",VLOOKUP(Cashflow!D$6,'Lookup Tables'!$A$60:$D$160,4,FALSE),'Data Entry'!$G$4)</f>
        <v>3.5000000000000003E-2</v>
      </c>
      <c r="E77" s="175">
        <f>IF('Data Entry'!$G$4="3.5% Declining",VLOOKUP(Cashflow!E$6,'Lookup Tables'!$A$60:$D$160,4,FALSE),'Data Entry'!$G$4)</f>
        <v>3.5000000000000003E-2</v>
      </c>
      <c r="F77" s="175">
        <f>IF('Data Entry'!$G$4="3.5% Declining",VLOOKUP(Cashflow!F$6,'Lookup Tables'!$A$60:$D$160,4,FALSE),'Data Entry'!$G$4)</f>
        <v>3.5000000000000003E-2</v>
      </c>
      <c r="G77" s="175">
        <f>IF('Data Entry'!$G$4="3.5% Declining",VLOOKUP(Cashflow!G$6,'Lookup Tables'!$A$60:$D$160,4,FALSE),'Data Entry'!$G$4)</f>
        <v>3.5000000000000003E-2</v>
      </c>
      <c r="H77" s="175">
        <f>IF('Data Entry'!$G$4="3.5% Declining",VLOOKUP(Cashflow!H$6,'Lookup Tables'!$A$60:$D$160,4,FALSE),'Data Entry'!$G$4)</f>
        <v>3.5000000000000003E-2</v>
      </c>
      <c r="I77" s="175">
        <f>IF('Data Entry'!$G$4="3.5% Declining",VLOOKUP(Cashflow!I$6,'Lookup Tables'!$A$60:$D$160,4,FALSE),'Data Entry'!$G$4)</f>
        <v>3.5000000000000003E-2</v>
      </c>
      <c r="J77" s="175">
        <f>IF('Data Entry'!$G$4="3.5% Declining",VLOOKUP(Cashflow!J$6,'Lookup Tables'!$A$60:$D$160,4,FALSE),'Data Entry'!$G$4)</f>
        <v>3.5000000000000003E-2</v>
      </c>
      <c r="K77" s="175">
        <f>IF('Data Entry'!$G$4="3.5% Declining",VLOOKUP(Cashflow!K$6,'Lookup Tables'!$A$60:$D$160,4,FALSE),'Data Entry'!$G$4)</f>
        <v>3.5000000000000003E-2</v>
      </c>
      <c r="L77" s="175">
        <f>IF('Data Entry'!$G$4="3.5% Declining",VLOOKUP(Cashflow!L$6,'Lookup Tables'!$A$60:$D$160,4,FALSE),'Data Entry'!$G$4)</f>
        <v>3.5000000000000003E-2</v>
      </c>
      <c r="M77" s="175">
        <f>IF('Data Entry'!$G$4="3.5% Declining",VLOOKUP(Cashflow!M$6,'Lookup Tables'!$A$60:$D$160,4,FALSE),'Data Entry'!$G$4)</f>
        <v>3.5000000000000003E-2</v>
      </c>
      <c r="N77" s="175">
        <f>IF('Data Entry'!$G$4="3.5% Declining",VLOOKUP(Cashflow!N$6,'Lookup Tables'!$A$60:$D$160,4,FALSE),'Data Entry'!$G$4)</f>
        <v>3.5000000000000003E-2</v>
      </c>
      <c r="O77" s="175">
        <f>IF('Data Entry'!$G$4="3.5% Declining",VLOOKUP(Cashflow!O$6,'Lookup Tables'!$A$60:$D$160,4,FALSE),'Data Entry'!$G$4)</f>
        <v>3.5000000000000003E-2</v>
      </c>
      <c r="P77" s="175">
        <f>IF('Data Entry'!$G$4="3.5% Declining",VLOOKUP(Cashflow!P$6,'Lookup Tables'!$A$60:$D$160,4,FALSE),'Data Entry'!$G$4)</f>
        <v>3.5000000000000003E-2</v>
      </c>
      <c r="Q77" s="175">
        <f>IF('Data Entry'!$G$4="3.5% Declining",VLOOKUP(Cashflow!Q$6,'Lookup Tables'!$A$60:$D$160,4,FALSE),'Data Entry'!$G$4)</f>
        <v>3.5000000000000003E-2</v>
      </c>
      <c r="R77" s="175">
        <f>IF('Data Entry'!$G$4="3.5% Declining",VLOOKUP(Cashflow!R$6,'Lookup Tables'!$A$60:$D$160,4,FALSE),'Data Entry'!$G$4)</f>
        <v>3.5000000000000003E-2</v>
      </c>
      <c r="S77" s="175">
        <f>IF('Data Entry'!$G$4="3.5% Declining",VLOOKUP(Cashflow!S$6,'Lookup Tables'!$A$60:$D$160,4,FALSE),'Data Entry'!$G$4)</f>
        <v>3.5000000000000003E-2</v>
      </c>
      <c r="T77" s="175">
        <f>IF('Data Entry'!$G$4="3.5% Declining",VLOOKUP(Cashflow!T$6,'Lookup Tables'!$A$60:$D$160,4,FALSE),'Data Entry'!$G$4)</f>
        <v>3.5000000000000003E-2</v>
      </c>
      <c r="U77" s="175">
        <f>IF('Data Entry'!$G$4="3.5% Declining",VLOOKUP(Cashflow!U$6,'Lookup Tables'!$A$60:$D$160,4,FALSE),'Data Entry'!$G$4)</f>
        <v>3.5000000000000003E-2</v>
      </c>
      <c r="V77" s="175">
        <f>IF('Data Entry'!$G$4="3.5% Declining",VLOOKUP(Cashflow!V$6,'Lookup Tables'!$A$60:$D$160,4,FALSE),'Data Entry'!$G$4)</f>
        <v>3.5000000000000003E-2</v>
      </c>
      <c r="W77" s="175">
        <f>IF('Data Entry'!$G$4="3.5% Declining",VLOOKUP(Cashflow!W$6,'Lookup Tables'!$A$60:$D$160,4,FALSE),'Data Entry'!$G$4)</f>
        <v>3.5000000000000003E-2</v>
      </c>
      <c r="X77" s="175">
        <f>IF('Data Entry'!$G$4="3.5% Declining",VLOOKUP(Cashflow!X$6,'Lookup Tables'!$A$60:$D$160,4,FALSE),'Data Entry'!$G$4)</f>
        <v>3.5000000000000003E-2</v>
      </c>
      <c r="Y77" s="175">
        <f>IF('Data Entry'!$G$4="3.5% Declining",VLOOKUP(Cashflow!Y$6,'Lookup Tables'!$A$60:$D$160,4,FALSE),'Data Entry'!$G$4)</f>
        <v>3.5000000000000003E-2</v>
      </c>
      <c r="Z77" s="175">
        <f>IF('Data Entry'!$G$4="3.5% Declining",VLOOKUP(Cashflow!Z$6,'Lookup Tables'!$A$60:$D$160,4,FALSE),'Data Entry'!$G$4)</f>
        <v>3.5000000000000003E-2</v>
      </c>
      <c r="AA77" s="175">
        <f>IF('Data Entry'!$G$4="3.5% Declining",VLOOKUP(Cashflow!AA$6,'Lookup Tables'!$A$60:$D$160,4,FALSE),'Data Entry'!$G$4)</f>
        <v>3.5000000000000003E-2</v>
      </c>
      <c r="AB77" s="175">
        <f>IF('Data Entry'!$G$4="3.5% Declining",VLOOKUP(Cashflow!AB$6,'Lookup Tables'!$A$60:$D$160,4,FALSE),'Data Entry'!$G$4)</f>
        <v>3.5000000000000003E-2</v>
      </c>
      <c r="AC77" s="175">
        <f>IF('Data Entry'!$G$4="3.5% Declining",VLOOKUP(Cashflow!AC$6,'Lookup Tables'!$A$60:$D$160,4,FALSE),'Data Entry'!$G$4)</f>
        <v>3.5000000000000003E-2</v>
      </c>
      <c r="AD77" s="175">
        <f>IF('Data Entry'!$G$4="3.5% Declining",VLOOKUP(Cashflow!AD$6,'Lookup Tables'!$A$60:$D$160,4,FALSE),'Data Entry'!$G$4)</f>
        <v>3.5000000000000003E-2</v>
      </c>
      <c r="AE77" s="175">
        <f>IF('Data Entry'!$G$4="3.5% Declining",VLOOKUP(Cashflow!AE$6,'Lookup Tables'!$A$60:$D$160,4,FALSE),'Data Entry'!$G$4)</f>
        <v>3.5000000000000003E-2</v>
      </c>
      <c r="AF77" s="175">
        <f>IF('Data Entry'!$G$4="3.5% Declining",VLOOKUP(Cashflow!AF$6,'Lookup Tables'!$A$60:$D$160,4,FALSE),'Data Entry'!$G$4)</f>
        <v>3.5000000000000003E-2</v>
      </c>
      <c r="AG77" s="175">
        <f>IF('Data Entry'!$G$4="3.5% Declining",VLOOKUP(Cashflow!AG$6,'Lookup Tables'!$A$60:$D$160,4,FALSE),'Data Entry'!$G$4)</f>
        <v>3.5000000000000003E-2</v>
      </c>
      <c r="AH77" s="175">
        <f>IF('Data Entry'!$G$4="3.5% Declining",VLOOKUP(Cashflow!AH$6,'Lookup Tables'!$A$60:$D$160,4,FALSE),'Data Entry'!$G$4)</f>
        <v>3.5000000000000003E-2</v>
      </c>
      <c r="AI77" s="175">
        <f>IF('Data Entry'!$G$4="3.5% Declining",VLOOKUP(Cashflow!AI$6,'Lookup Tables'!$A$60:$D$160,4,FALSE),'Data Entry'!$G$4)</f>
        <v>0.03</v>
      </c>
      <c r="AJ77" s="175">
        <f>IF('Data Entry'!$G$4="3.5% Declining",VLOOKUP(Cashflow!AJ$6,'Lookup Tables'!$A$60:$D$160,4,FALSE),'Data Entry'!$G$4)</f>
        <v>0.03</v>
      </c>
      <c r="AK77" s="175">
        <f>IF('Data Entry'!$G$4="3.5% Declining",VLOOKUP(Cashflow!AK$6,'Lookup Tables'!$A$60:$D$160,4,FALSE),'Data Entry'!$G$4)</f>
        <v>0.03</v>
      </c>
      <c r="AL77" s="175">
        <f>IF('Data Entry'!$G$4="3.5% Declining",VLOOKUP(Cashflow!AL$6,'Lookup Tables'!$A$60:$D$160,4,FALSE),'Data Entry'!$G$4)</f>
        <v>0.03</v>
      </c>
      <c r="AM77" s="175">
        <f>IF('Data Entry'!$G$4="3.5% Declining",VLOOKUP(Cashflow!AM$6,'Lookup Tables'!$A$60:$D$160,4,FALSE),'Data Entry'!$G$4)</f>
        <v>0.03</v>
      </c>
      <c r="AN77" s="175">
        <f>IF('Data Entry'!$G$4="3.5% Declining",VLOOKUP(Cashflow!AN$6,'Lookup Tables'!$A$60:$D$160,4,FALSE),'Data Entry'!$G$4)</f>
        <v>0.03</v>
      </c>
      <c r="AO77" s="447">
        <f>IF('Data Entry'!$G$4="3.5% Declining",VLOOKUP(Cashflow!AO$6,'Lookup Tables'!$A$60:$D$160,4,FALSE),'Data Entry'!$G$4)</f>
        <v>0.03</v>
      </c>
      <c r="AP77" s="175">
        <f>IF('Data Entry'!$G$4="3.5% Declining",VLOOKUP(Cashflow!AP$6,'Lookup Tables'!$A$60:$D$160,4,FALSE),'Data Entry'!$G$4)</f>
        <v>0.03</v>
      </c>
      <c r="AQ77" s="175">
        <f>IF('Data Entry'!$G$4="3.5% Declining",VLOOKUP(Cashflow!AQ$6,'Lookup Tables'!$A$60:$D$160,4,FALSE),'Data Entry'!$G$4)</f>
        <v>0.03</v>
      </c>
      <c r="AR77" s="175">
        <f>IF('Data Entry'!$G$4="3.5% Declining",VLOOKUP(Cashflow!AR$6,'Lookup Tables'!$A$60:$D$160,4,FALSE),'Data Entry'!$G$4)</f>
        <v>0.03</v>
      </c>
      <c r="AS77" s="175">
        <f>IF('Data Entry'!$G$4="3.5% Declining",VLOOKUP(Cashflow!AS$6,'Lookup Tables'!$A$60:$D$160,4,FALSE),'Data Entry'!$G$4)</f>
        <v>0.03</v>
      </c>
      <c r="AT77" s="175">
        <f>IF('Data Entry'!$G$4="3.5% Declining",VLOOKUP(Cashflow!AT$6,'Lookup Tables'!$A$60:$D$160,4,FALSE),'Data Entry'!$G$4)</f>
        <v>0.03</v>
      </c>
      <c r="AU77" s="175">
        <f>IF('Data Entry'!$G$4="3.5% Declining",VLOOKUP(Cashflow!AU$6,'Lookup Tables'!$A$60:$D$160,4,FALSE),'Data Entry'!$G$4)</f>
        <v>0.03</v>
      </c>
      <c r="AV77" s="175">
        <f>IF('Data Entry'!$G$4="3.5% Declining",VLOOKUP(Cashflow!AV$6,'Lookup Tables'!$A$60:$D$160,4,FALSE),'Data Entry'!$G$4)</f>
        <v>0.03</v>
      </c>
      <c r="AW77" s="175">
        <f>IF('Data Entry'!$G$4="3.5% Declining",VLOOKUP(Cashflow!AW$6,'Lookup Tables'!$A$60:$D$160,4,FALSE),'Data Entry'!$G$4)</f>
        <v>0.03</v>
      </c>
      <c r="AX77" s="175">
        <f>IF('Data Entry'!$G$4="3.5% Declining",VLOOKUP(Cashflow!AX$6,'Lookup Tables'!$A$60:$D$160,4,FALSE),'Data Entry'!$G$4)</f>
        <v>0.03</v>
      </c>
      <c r="AY77" s="175">
        <f>IF('Data Entry'!$G$4="3.5% Declining",VLOOKUP(Cashflow!AY$6,'Lookup Tables'!$A$60:$D$160,4,FALSE),'Data Entry'!$G$4)</f>
        <v>0.03</v>
      </c>
      <c r="AZ77" s="175">
        <f>IF('Data Entry'!$G$4="3.5% Declining",VLOOKUP(Cashflow!AZ$6,'Lookup Tables'!$A$60:$D$160,4,FALSE),'Data Entry'!$G$4)</f>
        <v>0.03</v>
      </c>
      <c r="BA77" s="175">
        <f>IF('Data Entry'!$G$4="3.5% Declining",VLOOKUP(Cashflow!BA$6,'Lookup Tables'!$A$60:$D$160,4,FALSE),'Data Entry'!$G$4)</f>
        <v>0.03</v>
      </c>
      <c r="BB77" s="175">
        <f>IF('Data Entry'!$G$4="3.5% Declining",VLOOKUP(Cashflow!BB$6,'Lookup Tables'!$A$60:$D$160,4,FALSE),'Data Entry'!$G$4)</f>
        <v>0.03</v>
      </c>
      <c r="BC77" s="175">
        <f>IF('Data Entry'!$G$4="3.5% Declining",VLOOKUP(Cashflow!BC$6,'Lookup Tables'!$A$60:$D$160,4,FALSE),'Data Entry'!$G$4)</f>
        <v>0.03</v>
      </c>
      <c r="BD77" s="175">
        <f>IF('Data Entry'!$G$4="3.5% Declining",VLOOKUP(Cashflow!BD$6,'Lookup Tables'!$A$60:$D$160,4,FALSE),'Data Entry'!$G$4)</f>
        <v>0.03</v>
      </c>
      <c r="BE77" s="175">
        <f>IF('Data Entry'!$G$4="3.5% Declining",VLOOKUP(Cashflow!BE$6,'Lookup Tables'!$A$60:$D$160,4,FALSE),'Data Entry'!$G$4)</f>
        <v>0.03</v>
      </c>
      <c r="BF77" s="175">
        <f>IF('Data Entry'!$G$4="3.5% Declining",VLOOKUP(Cashflow!BF$6,'Lookup Tables'!$A$60:$D$160,4,FALSE),'Data Entry'!$G$4)</f>
        <v>0.03</v>
      </c>
      <c r="BG77" s="175">
        <f>IF('Data Entry'!$G$4="3.5% Declining",VLOOKUP(Cashflow!BG$6,'Lookup Tables'!$A$60:$D$160,4,FALSE),'Data Entry'!$G$4)</f>
        <v>0.03</v>
      </c>
      <c r="BH77" s="175">
        <f>IF('Data Entry'!$G$4="3.5% Declining",VLOOKUP(Cashflow!BH$6,'Lookup Tables'!$A$60:$D$160,4,FALSE),'Data Entry'!$G$4)</f>
        <v>0.03</v>
      </c>
      <c r="BI77" s="175">
        <f>IF('Data Entry'!$G$4="3.5% Declining",VLOOKUP(Cashflow!BI$6,'Lookup Tables'!$A$60:$D$160,4,FALSE),'Data Entry'!$G$4)</f>
        <v>0.03</v>
      </c>
      <c r="BJ77" s="175">
        <f>IF('Data Entry'!$G$4="3.5% Declining",VLOOKUP(Cashflow!BJ$6,'Lookup Tables'!$A$60:$D$160,4,FALSE),'Data Entry'!$G$4)</f>
        <v>0.03</v>
      </c>
      <c r="BK77" s="447">
        <f>IF('Data Entry'!$G$4="3.5% Declining",VLOOKUP(Cashflow!BK$6,'Lookup Tables'!$A$60:$D$160,4,FALSE),'Data Entry'!$G$4)</f>
        <v>0.03</v>
      </c>
      <c r="BL77" s="175">
        <f>IF('Data Entry'!$G$4="3.5% Declining",VLOOKUP(Cashflow!BL$6,'Lookup Tables'!$A$60:$D$160,4,FALSE),'Data Entry'!$G$4)</f>
        <v>0.03</v>
      </c>
      <c r="BM77" s="175">
        <f>IF('Data Entry'!$G$4="3.5% Declining",VLOOKUP(Cashflow!BM$6,'Lookup Tables'!$A$60:$D$160,4,FALSE),'Data Entry'!$G$4)</f>
        <v>0.03</v>
      </c>
      <c r="BN77" s="175">
        <f>IF('Data Entry'!$G$4="3.5% Declining",VLOOKUP(Cashflow!BN$6,'Lookup Tables'!$A$60:$D$160,4,FALSE),'Data Entry'!$G$4)</f>
        <v>0.03</v>
      </c>
      <c r="BO77" s="175">
        <f>IF('Data Entry'!$G$4="3.5% Declining",VLOOKUP(Cashflow!BO$6,'Lookup Tables'!$A$60:$D$160,4,FALSE),'Data Entry'!$G$4)</f>
        <v>0.03</v>
      </c>
      <c r="BP77" s="175">
        <f>IF('Data Entry'!$G$4="3.5% Declining",VLOOKUP(Cashflow!BP$6,'Lookup Tables'!$A$60:$D$160,4,FALSE),'Data Entry'!$G$4)</f>
        <v>0.03</v>
      </c>
      <c r="BQ77" s="175">
        <f>IF('Data Entry'!$G$4="3.5% Declining",VLOOKUP(Cashflow!BQ$6,'Lookup Tables'!$A$60:$D$160,4,FALSE),'Data Entry'!$G$4)</f>
        <v>0.03</v>
      </c>
      <c r="BR77" s="175">
        <f>IF('Data Entry'!$G$4="3.5% Declining",VLOOKUP(Cashflow!BR$6,'Lookup Tables'!$A$60:$D$160,4,FALSE),'Data Entry'!$G$4)</f>
        <v>0.03</v>
      </c>
      <c r="BS77" s="175">
        <f>IF('Data Entry'!$G$4="3.5% Declining",VLOOKUP(Cashflow!BS$6,'Lookup Tables'!$A$60:$D$160,4,FALSE),'Data Entry'!$G$4)</f>
        <v>0.03</v>
      </c>
      <c r="BT77" s="175">
        <f>IF('Data Entry'!$G$4="3.5% Declining",VLOOKUP(Cashflow!BT$6,'Lookup Tables'!$A$60:$D$160,4,FALSE),'Data Entry'!$G$4)</f>
        <v>0.03</v>
      </c>
      <c r="BU77" s="175">
        <f>IF('Data Entry'!$G$4="3.5% Declining",VLOOKUP(Cashflow!BU$6,'Lookup Tables'!$A$60:$D$160,4,FALSE),'Data Entry'!$G$4)</f>
        <v>0.03</v>
      </c>
      <c r="BV77" s="175">
        <f>IF('Data Entry'!$G$4="3.5% Declining",VLOOKUP(Cashflow!BV$6,'Lookup Tables'!$A$60:$D$160,4,FALSE),'Data Entry'!$G$4)</f>
        <v>0.03</v>
      </c>
      <c r="BW77" s="175">
        <f>IF('Data Entry'!$G$4="3.5% Declining",VLOOKUP(Cashflow!BW$6,'Lookup Tables'!$A$60:$D$160,4,FALSE),'Data Entry'!$G$4)</f>
        <v>0.03</v>
      </c>
      <c r="BX77" s="175">
        <f>IF('Data Entry'!$G$4="3.5% Declining",VLOOKUP(Cashflow!BX$6,'Lookup Tables'!$A$60:$D$160,4,FALSE),'Data Entry'!$G$4)</f>
        <v>0.03</v>
      </c>
      <c r="BY77" s="175">
        <f>IF('Data Entry'!$G$4="3.5% Declining",VLOOKUP(Cashflow!BY$6,'Lookup Tables'!$A$60:$D$160,4,FALSE),'Data Entry'!$G$4)</f>
        <v>0.03</v>
      </c>
      <c r="BZ77" s="175">
        <f>IF('Data Entry'!$G$4="3.5% Declining",VLOOKUP(Cashflow!BZ$6,'Lookup Tables'!$A$60:$D$160,4,FALSE),'Data Entry'!$G$4)</f>
        <v>0.03</v>
      </c>
      <c r="CA77" s="447">
        <f>IF('Data Entry'!$G$4="3.5% Declining",VLOOKUP(Cashflow!CA$6,'Lookup Tables'!$A$60:$D$160,4,FALSE),'Data Entry'!$G$4)</f>
        <v>0.03</v>
      </c>
      <c r="CB77" s="175">
        <f>IF('Data Entry'!$G$4="3.5% Declining",VLOOKUP(Cashflow!CB$6,'Lookup Tables'!$A$60:$D$160,4,FALSE),'Data Entry'!$G$4)</f>
        <v>2.5000000000000001E-2</v>
      </c>
      <c r="CC77" s="175">
        <f>IF('Data Entry'!$G$4="3.5% Declining",VLOOKUP(Cashflow!CC$6,'Lookup Tables'!$A$60:$D$160,4,FALSE),'Data Entry'!$G$4)</f>
        <v>2.5000000000000001E-2</v>
      </c>
      <c r="CD77" s="175">
        <f>IF('Data Entry'!$G$4="3.5% Declining",VLOOKUP(Cashflow!CD$6,'Lookup Tables'!$A$60:$D$160,4,FALSE),'Data Entry'!$G$4)</f>
        <v>2.5000000000000001E-2</v>
      </c>
      <c r="CE77" s="175">
        <f>IF('Data Entry'!$G$4="3.5% Declining",VLOOKUP(Cashflow!CE$6,'Lookup Tables'!$A$60:$D$160,4,FALSE),'Data Entry'!$G$4)</f>
        <v>2.5000000000000001E-2</v>
      </c>
      <c r="CF77" s="175">
        <f>IF('Data Entry'!$G$4="3.5% Declining",VLOOKUP(Cashflow!CF$6,'Lookup Tables'!$A$60:$D$160,4,FALSE),'Data Entry'!$G$4)</f>
        <v>2.5000000000000001E-2</v>
      </c>
      <c r="CG77" s="175">
        <f>IF('Data Entry'!$G$4="3.5% Declining",VLOOKUP(Cashflow!CG$6,'Lookup Tables'!$A$60:$D$160,4,FALSE),'Data Entry'!$G$4)</f>
        <v>2.5000000000000001E-2</v>
      </c>
      <c r="CH77" s="175">
        <f>IF('Data Entry'!$G$4="3.5% Declining",VLOOKUP(Cashflow!CH$6,'Lookup Tables'!$A$60:$D$160,4,FALSE),'Data Entry'!$G$4)</f>
        <v>2.5000000000000001E-2</v>
      </c>
      <c r="CI77" s="175">
        <f>IF('Data Entry'!$G$4="3.5% Declining",VLOOKUP(Cashflow!CI$6,'Lookup Tables'!$A$60:$D$160,4,FALSE),'Data Entry'!$G$4)</f>
        <v>2.5000000000000001E-2</v>
      </c>
      <c r="CJ77" s="175">
        <f>IF('Data Entry'!$G$4="3.5% Declining",VLOOKUP(Cashflow!CJ$6,'Lookup Tables'!$A$60:$D$160,4,FALSE),'Data Entry'!$G$4)</f>
        <v>2.5000000000000001E-2</v>
      </c>
      <c r="CK77" s="175">
        <f>IF('Data Entry'!$G$4="3.5% Declining",VLOOKUP(Cashflow!CK$6,'Lookup Tables'!$A$60:$D$160,4,FALSE),'Data Entry'!$G$4)</f>
        <v>2.5000000000000001E-2</v>
      </c>
      <c r="CL77" s="175">
        <f>IF('Data Entry'!$G$4="3.5% Declining",VLOOKUP(Cashflow!CL$6,'Lookup Tables'!$A$60:$D$160,4,FALSE),'Data Entry'!$G$4)</f>
        <v>2.5000000000000001E-2</v>
      </c>
      <c r="CM77" s="175">
        <f>IF('Data Entry'!$G$4="3.5% Declining",VLOOKUP(Cashflow!CM$6,'Lookup Tables'!$A$60:$D$160,4,FALSE),'Data Entry'!$G$4)</f>
        <v>2.5000000000000001E-2</v>
      </c>
      <c r="CN77" s="175">
        <f>IF('Data Entry'!$G$4="3.5% Declining",VLOOKUP(Cashflow!CN$6,'Lookup Tables'!$A$60:$D$160,4,FALSE),'Data Entry'!$G$4)</f>
        <v>2.5000000000000001E-2</v>
      </c>
      <c r="CO77" s="175">
        <f>IF('Data Entry'!$G$4="3.5% Declining",VLOOKUP(Cashflow!CO$6,'Lookup Tables'!$A$60:$D$160,4,FALSE),'Data Entry'!$G$4)</f>
        <v>2.5000000000000001E-2</v>
      </c>
      <c r="CP77" s="175">
        <f>IF('Data Entry'!$G$4="3.5% Declining",VLOOKUP(Cashflow!CP$6,'Lookup Tables'!$A$60:$D$160,4,FALSE),'Data Entry'!$G$4)</f>
        <v>2.5000000000000001E-2</v>
      </c>
      <c r="CQ77" s="175">
        <f>IF('Data Entry'!$G$4="3.5% Declining",VLOOKUP(Cashflow!CQ$6,'Lookup Tables'!$A$60:$D$160,4,FALSE),'Data Entry'!$G$4)</f>
        <v>2.5000000000000001E-2</v>
      </c>
      <c r="CR77" s="175">
        <f>IF('Data Entry'!$G$4="3.5% Declining",VLOOKUP(Cashflow!CR$6,'Lookup Tables'!$A$60:$D$160,4,FALSE),'Data Entry'!$G$4)</f>
        <v>2.5000000000000001E-2</v>
      </c>
      <c r="CS77" s="175">
        <f>IF('Data Entry'!$G$4="3.5% Declining",VLOOKUP(Cashflow!CS$6,'Lookup Tables'!$A$60:$D$160,4,FALSE),'Data Entry'!$G$4)</f>
        <v>2.5000000000000001E-2</v>
      </c>
      <c r="CT77" s="175">
        <f>IF('Data Entry'!$G$4="3.5% Declining",VLOOKUP(Cashflow!CT$6,'Lookup Tables'!$A$60:$D$160,4,FALSE),'Data Entry'!$G$4)</f>
        <v>2.5000000000000001E-2</v>
      </c>
      <c r="CU77" s="175">
        <f>IF('Data Entry'!$G$4="3.5% Declining",VLOOKUP(Cashflow!CU$6,'Lookup Tables'!$A$60:$D$160,4,FALSE),'Data Entry'!$G$4)</f>
        <v>2.5000000000000001E-2</v>
      </c>
      <c r="CV77" s="175">
        <f>IF('Data Entry'!$G$4="3.5% Declining",VLOOKUP(Cashflow!CV$6,'Lookup Tables'!$A$60:$D$160,4,FALSE),'Data Entry'!$G$4)</f>
        <v>2.5000000000000001E-2</v>
      </c>
      <c r="CW77" s="175">
        <f>IF('Data Entry'!$G$4="3.5% Declining",VLOOKUP(Cashflow!CW$6,'Lookup Tables'!$A$60:$D$160,4,FALSE),'Data Entry'!$G$4)</f>
        <v>2.5000000000000001E-2</v>
      </c>
      <c r="CX77" s="175">
        <f>IF('Data Entry'!$G$4="3.5% Declining",VLOOKUP(Cashflow!CX$6,'Lookup Tables'!$A$60:$D$160,4,FALSE),'Data Entry'!$G$4)</f>
        <v>2.5000000000000001E-2</v>
      </c>
      <c r="CY77" s="175">
        <f>IF('Data Entry'!$G$4="3.5% Declining",VLOOKUP(Cashflow!CY$6,'Lookup Tables'!$A$60:$D$160,4,FALSE),'Data Entry'!$G$4)</f>
        <v>2.5000000000000001E-2</v>
      </c>
    </row>
    <row r="78" spans="1:103" ht="15" customHeight="1" thickBot="1" x14ac:dyDescent="0.25">
      <c r="A78" s="48"/>
      <c r="B78" s="49"/>
      <c r="C78" s="271"/>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149"/>
      <c r="AP78" s="4"/>
      <c r="AQ78" s="4"/>
      <c r="AR78" s="4"/>
      <c r="AS78" s="4"/>
      <c r="AT78" s="4"/>
      <c r="AU78" s="4"/>
      <c r="AV78" s="4"/>
      <c r="AW78" s="4"/>
      <c r="AX78" s="4"/>
      <c r="AY78" s="4"/>
      <c r="AZ78" s="4"/>
      <c r="BA78" s="4"/>
      <c r="BB78" s="4"/>
      <c r="BC78" s="4"/>
      <c r="BD78" s="4"/>
      <c r="BE78" s="4"/>
      <c r="BF78" s="4"/>
      <c r="BG78" s="4"/>
      <c r="BH78" s="4"/>
      <c r="BI78" s="4"/>
      <c r="BJ78" s="4"/>
      <c r="BK78" s="149"/>
      <c r="BL78" s="4"/>
      <c r="BM78" s="4"/>
      <c r="BN78" s="4"/>
      <c r="BO78" s="4"/>
      <c r="BP78" s="4"/>
      <c r="BQ78" s="4"/>
      <c r="BR78" s="4"/>
      <c r="BS78" s="4"/>
      <c r="BT78" s="4"/>
      <c r="BU78" s="4"/>
      <c r="BV78" s="4"/>
      <c r="BW78" s="4"/>
      <c r="BX78" s="4"/>
      <c r="BY78" s="4"/>
      <c r="BZ78" s="4"/>
      <c r="CA78" s="149"/>
      <c r="CB78" s="4"/>
      <c r="CC78" s="4"/>
      <c r="CD78" s="4"/>
      <c r="CE78" s="4"/>
      <c r="CF78" s="4"/>
      <c r="CG78" s="4"/>
      <c r="CH78" s="4"/>
      <c r="CI78" s="4"/>
      <c r="CJ78" s="4"/>
      <c r="CK78" s="4"/>
      <c r="CL78" s="4"/>
      <c r="CM78" s="4"/>
      <c r="CN78" s="4"/>
      <c r="CO78" s="4"/>
      <c r="CP78" s="4"/>
      <c r="CQ78" s="4"/>
      <c r="CR78" s="4"/>
      <c r="CS78" s="4"/>
      <c r="CT78" s="4"/>
      <c r="CU78" s="4"/>
      <c r="CV78" s="4"/>
      <c r="CW78" s="4"/>
      <c r="CX78" s="4"/>
      <c r="CY78" s="4"/>
    </row>
    <row r="79" spans="1:103" ht="15" customHeight="1" x14ac:dyDescent="0.2">
      <c r="A79" s="90" t="s">
        <v>65</v>
      </c>
      <c r="B79" s="91"/>
      <c r="C79" s="279" t="e">
        <f ca="1">SUM(D79:CY79)</f>
        <v>#REF!</v>
      </c>
      <c r="D79" s="92" t="e">
        <f ca="1">D67/((1+D77)^D6)</f>
        <v>#REF!</v>
      </c>
      <c r="E79" s="92">
        <f ca="1">E67/((1+E77)^E6)</f>
        <v>0</v>
      </c>
      <c r="F79" s="92">
        <f t="shared" ref="F79:BQ79" ca="1" si="39">F67/((1+F77)^F6)</f>
        <v>0</v>
      </c>
      <c r="G79" s="92">
        <f t="shared" ca="1" si="39"/>
        <v>0</v>
      </c>
      <c r="H79" s="92">
        <f t="shared" ca="1" si="39"/>
        <v>0</v>
      </c>
      <c r="I79" s="92">
        <f t="shared" ca="1" si="39"/>
        <v>0</v>
      </c>
      <c r="J79" s="92">
        <f t="shared" ca="1" si="39"/>
        <v>0</v>
      </c>
      <c r="K79" s="92">
        <f t="shared" ca="1" si="39"/>
        <v>0</v>
      </c>
      <c r="L79" s="92">
        <f t="shared" ca="1" si="39"/>
        <v>0</v>
      </c>
      <c r="M79" s="92">
        <f t="shared" ca="1" si="39"/>
        <v>0</v>
      </c>
      <c r="N79" s="92">
        <f t="shared" ca="1" si="39"/>
        <v>0</v>
      </c>
      <c r="O79" s="92">
        <f t="shared" ca="1" si="39"/>
        <v>0</v>
      </c>
      <c r="P79" s="92">
        <f t="shared" ca="1" si="39"/>
        <v>0</v>
      </c>
      <c r="Q79" s="92">
        <f t="shared" ca="1" si="39"/>
        <v>0</v>
      </c>
      <c r="R79" s="92">
        <f t="shared" ca="1" si="39"/>
        <v>0</v>
      </c>
      <c r="S79" s="92">
        <f t="shared" ca="1" si="39"/>
        <v>0</v>
      </c>
      <c r="T79" s="92">
        <f t="shared" ca="1" si="39"/>
        <v>0</v>
      </c>
      <c r="U79" s="92">
        <f t="shared" ca="1" si="39"/>
        <v>0</v>
      </c>
      <c r="V79" s="92">
        <f t="shared" ca="1" si="39"/>
        <v>0</v>
      </c>
      <c r="W79" s="92">
        <f t="shared" ca="1" si="39"/>
        <v>0</v>
      </c>
      <c r="X79" s="92">
        <f t="shared" ca="1" si="39"/>
        <v>0</v>
      </c>
      <c r="Y79" s="92">
        <f t="shared" ca="1" si="39"/>
        <v>0</v>
      </c>
      <c r="Z79" s="92">
        <f t="shared" ca="1" si="39"/>
        <v>0</v>
      </c>
      <c r="AA79" s="92">
        <f t="shared" ca="1" si="39"/>
        <v>0</v>
      </c>
      <c r="AB79" s="92">
        <f t="shared" ca="1" si="39"/>
        <v>0</v>
      </c>
      <c r="AC79" s="92">
        <f t="shared" ca="1" si="39"/>
        <v>0</v>
      </c>
      <c r="AD79" s="92">
        <f t="shared" ca="1" si="39"/>
        <v>0</v>
      </c>
      <c r="AE79" s="92">
        <f t="shared" ca="1" si="39"/>
        <v>0</v>
      </c>
      <c r="AF79" s="92">
        <f t="shared" ca="1" si="39"/>
        <v>0</v>
      </c>
      <c r="AG79" s="92">
        <f t="shared" ca="1" si="39"/>
        <v>0</v>
      </c>
      <c r="AH79" s="92">
        <f t="shared" ca="1" si="39"/>
        <v>0</v>
      </c>
      <c r="AI79" s="92">
        <f t="shared" ca="1" si="39"/>
        <v>0</v>
      </c>
      <c r="AJ79" s="92">
        <f t="shared" ca="1" si="39"/>
        <v>0</v>
      </c>
      <c r="AK79" s="92">
        <f t="shared" ca="1" si="39"/>
        <v>0</v>
      </c>
      <c r="AL79" s="92">
        <f t="shared" ca="1" si="39"/>
        <v>0</v>
      </c>
      <c r="AM79" s="92">
        <f t="shared" ca="1" si="39"/>
        <v>0</v>
      </c>
      <c r="AN79" s="92">
        <f t="shared" ca="1" si="39"/>
        <v>0</v>
      </c>
      <c r="AO79" s="317">
        <f t="shared" ca="1" si="39"/>
        <v>0</v>
      </c>
      <c r="AP79" s="92">
        <f t="shared" ca="1" si="39"/>
        <v>0</v>
      </c>
      <c r="AQ79" s="92">
        <f t="shared" ca="1" si="39"/>
        <v>0</v>
      </c>
      <c r="AR79" s="92">
        <f t="shared" ca="1" si="39"/>
        <v>0</v>
      </c>
      <c r="AS79" s="92">
        <f t="shared" ca="1" si="39"/>
        <v>0</v>
      </c>
      <c r="AT79" s="92">
        <f t="shared" ca="1" si="39"/>
        <v>0</v>
      </c>
      <c r="AU79" s="92">
        <f t="shared" ca="1" si="39"/>
        <v>0</v>
      </c>
      <c r="AV79" s="92">
        <f t="shared" ca="1" si="39"/>
        <v>0</v>
      </c>
      <c r="AW79" s="92">
        <f t="shared" ca="1" si="39"/>
        <v>0</v>
      </c>
      <c r="AX79" s="92">
        <f t="shared" ca="1" si="39"/>
        <v>0</v>
      </c>
      <c r="AY79" s="92">
        <f t="shared" ca="1" si="39"/>
        <v>0</v>
      </c>
      <c r="AZ79" s="92">
        <f t="shared" ca="1" si="39"/>
        <v>0</v>
      </c>
      <c r="BA79" s="92">
        <f t="shared" ca="1" si="39"/>
        <v>0</v>
      </c>
      <c r="BB79" s="92">
        <f t="shared" ca="1" si="39"/>
        <v>0</v>
      </c>
      <c r="BC79" s="92">
        <f t="shared" ca="1" si="39"/>
        <v>0</v>
      </c>
      <c r="BD79" s="92">
        <f t="shared" ca="1" si="39"/>
        <v>0</v>
      </c>
      <c r="BE79" s="92">
        <f t="shared" ca="1" si="39"/>
        <v>0</v>
      </c>
      <c r="BF79" s="92">
        <f t="shared" ca="1" si="39"/>
        <v>0</v>
      </c>
      <c r="BG79" s="92">
        <f t="shared" ca="1" si="39"/>
        <v>0</v>
      </c>
      <c r="BH79" s="92">
        <f t="shared" ca="1" si="39"/>
        <v>0</v>
      </c>
      <c r="BI79" s="92">
        <f t="shared" ca="1" si="39"/>
        <v>0</v>
      </c>
      <c r="BJ79" s="92">
        <f t="shared" ca="1" si="39"/>
        <v>0</v>
      </c>
      <c r="BK79" s="317">
        <f t="shared" ca="1" si="39"/>
        <v>0</v>
      </c>
      <c r="BL79" s="92">
        <f t="shared" ca="1" si="39"/>
        <v>0</v>
      </c>
      <c r="BM79" s="92">
        <f t="shared" ca="1" si="39"/>
        <v>0</v>
      </c>
      <c r="BN79" s="92">
        <f t="shared" ca="1" si="39"/>
        <v>0</v>
      </c>
      <c r="BO79" s="92">
        <f t="shared" ca="1" si="39"/>
        <v>0</v>
      </c>
      <c r="BP79" s="92">
        <f t="shared" ca="1" si="39"/>
        <v>0</v>
      </c>
      <c r="BQ79" s="92">
        <f t="shared" ca="1" si="39"/>
        <v>0</v>
      </c>
      <c r="BR79" s="92">
        <f t="shared" ref="BR79:CY79" ca="1" si="40">BR67/((1+BR77)^BR6)</f>
        <v>0</v>
      </c>
      <c r="BS79" s="92">
        <f t="shared" ca="1" si="40"/>
        <v>0</v>
      </c>
      <c r="BT79" s="92">
        <f t="shared" ca="1" si="40"/>
        <v>0</v>
      </c>
      <c r="BU79" s="92">
        <f t="shared" ca="1" si="40"/>
        <v>0</v>
      </c>
      <c r="BV79" s="92">
        <f t="shared" ca="1" si="40"/>
        <v>0</v>
      </c>
      <c r="BW79" s="92">
        <f t="shared" ca="1" si="40"/>
        <v>0</v>
      </c>
      <c r="BX79" s="92">
        <f t="shared" ca="1" si="40"/>
        <v>0</v>
      </c>
      <c r="BY79" s="92">
        <f t="shared" ca="1" si="40"/>
        <v>0</v>
      </c>
      <c r="BZ79" s="92">
        <f t="shared" ca="1" si="40"/>
        <v>0</v>
      </c>
      <c r="CA79" s="317">
        <f t="shared" ca="1" si="40"/>
        <v>0</v>
      </c>
      <c r="CB79" s="92">
        <f t="shared" ca="1" si="40"/>
        <v>0</v>
      </c>
      <c r="CC79" s="92">
        <f t="shared" ca="1" si="40"/>
        <v>0</v>
      </c>
      <c r="CD79" s="92">
        <f t="shared" ca="1" si="40"/>
        <v>0</v>
      </c>
      <c r="CE79" s="92">
        <f t="shared" ca="1" si="40"/>
        <v>0</v>
      </c>
      <c r="CF79" s="92">
        <f t="shared" ca="1" si="40"/>
        <v>0</v>
      </c>
      <c r="CG79" s="92">
        <f t="shared" ca="1" si="40"/>
        <v>0</v>
      </c>
      <c r="CH79" s="92">
        <f t="shared" ca="1" si="40"/>
        <v>0</v>
      </c>
      <c r="CI79" s="92">
        <f t="shared" ca="1" si="40"/>
        <v>0</v>
      </c>
      <c r="CJ79" s="92">
        <f t="shared" ca="1" si="40"/>
        <v>0</v>
      </c>
      <c r="CK79" s="92">
        <f t="shared" ca="1" si="40"/>
        <v>0</v>
      </c>
      <c r="CL79" s="92">
        <f t="shared" ca="1" si="40"/>
        <v>0</v>
      </c>
      <c r="CM79" s="92">
        <f t="shared" ca="1" si="40"/>
        <v>0</v>
      </c>
      <c r="CN79" s="92">
        <f t="shared" ca="1" si="40"/>
        <v>0</v>
      </c>
      <c r="CO79" s="92">
        <f t="shared" ca="1" si="40"/>
        <v>0</v>
      </c>
      <c r="CP79" s="92">
        <f t="shared" ca="1" si="40"/>
        <v>0</v>
      </c>
      <c r="CQ79" s="92">
        <f t="shared" ca="1" si="40"/>
        <v>0</v>
      </c>
      <c r="CR79" s="92">
        <f t="shared" ca="1" si="40"/>
        <v>0</v>
      </c>
      <c r="CS79" s="92">
        <f t="shared" ca="1" si="40"/>
        <v>0</v>
      </c>
      <c r="CT79" s="92">
        <f t="shared" ca="1" si="40"/>
        <v>0</v>
      </c>
      <c r="CU79" s="92">
        <f t="shared" ca="1" si="40"/>
        <v>0</v>
      </c>
      <c r="CV79" s="92">
        <f t="shared" ca="1" si="40"/>
        <v>0</v>
      </c>
      <c r="CW79" s="92">
        <f t="shared" ca="1" si="40"/>
        <v>0</v>
      </c>
      <c r="CX79" s="92">
        <f t="shared" ca="1" si="40"/>
        <v>0</v>
      </c>
      <c r="CY79" s="92">
        <f t="shared" ca="1" si="40"/>
        <v>0</v>
      </c>
    </row>
    <row r="80" spans="1:103" ht="15" customHeight="1" thickBot="1" x14ac:dyDescent="0.25">
      <c r="A80" s="93" t="s">
        <v>64</v>
      </c>
      <c r="B80" s="94"/>
      <c r="C80" s="280" t="e">
        <f ca="1">SUM(D80:CY80)</f>
        <v>#REF!</v>
      </c>
      <c r="D80" s="85" t="e">
        <f ca="1">D68/((1+D77)^D6)</f>
        <v>#REF!</v>
      </c>
      <c r="E80" s="85">
        <f ca="1">E68/((1+E77)^E6)</f>
        <v>0</v>
      </c>
      <c r="F80" s="85">
        <f t="shared" ref="F80:BQ80" ca="1" si="41">F68/((1+F77)^F6)</f>
        <v>0</v>
      </c>
      <c r="G80" s="85">
        <f t="shared" ca="1" si="41"/>
        <v>0</v>
      </c>
      <c r="H80" s="85">
        <f t="shared" ca="1" si="41"/>
        <v>0</v>
      </c>
      <c r="I80" s="85">
        <f t="shared" ca="1" si="41"/>
        <v>0</v>
      </c>
      <c r="J80" s="85">
        <f t="shared" ca="1" si="41"/>
        <v>0</v>
      </c>
      <c r="K80" s="85">
        <f t="shared" ca="1" si="41"/>
        <v>0</v>
      </c>
      <c r="L80" s="85">
        <f t="shared" ca="1" si="41"/>
        <v>0</v>
      </c>
      <c r="M80" s="85">
        <f t="shared" ca="1" si="41"/>
        <v>0</v>
      </c>
      <c r="N80" s="85">
        <f t="shared" ca="1" si="41"/>
        <v>0</v>
      </c>
      <c r="O80" s="85">
        <f t="shared" ca="1" si="41"/>
        <v>0</v>
      </c>
      <c r="P80" s="85">
        <f t="shared" ca="1" si="41"/>
        <v>0</v>
      </c>
      <c r="Q80" s="85">
        <f t="shared" ca="1" si="41"/>
        <v>0</v>
      </c>
      <c r="R80" s="85">
        <f t="shared" ca="1" si="41"/>
        <v>0</v>
      </c>
      <c r="S80" s="85">
        <f t="shared" ca="1" si="41"/>
        <v>0</v>
      </c>
      <c r="T80" s="85">
        <f t="shared" ca="1" si="41"/>
        <v>0</v>
      </c>
      <c r="U80" s="85">
        <f t="shared" ca="1" si="41"/>
        <v>0</v>
      </c>
      <c r="V80" s="85">
        <f t="shared" ca="1" si="41"/>
        <v>0</v>
      </c>
      <c r="W80" s="85">
        <f t="shared" ca="1" si="41"/>
        <v>0</v>
      </c>
      <c r="X80" s="85">
        <f t="shared" ca="1" si="41"/>
        <v>0</v>
      </c>
      <c r="Y80" s="85">
        <f t="shared" ca="1" si="41"/>
        <v>0</v>
      </c>
      <c r="Z80" s="85">
        <f t="shared" ca="1" si="41"/>
        <v>0</v>
      </c>
      <c r="AA80" s="85">
        <f t="shared" ca="1" si="41"/>
        <v>0</v>
      </c>
      <c r="AB80" s="85">
        <f t="shared" ca="1" si="41"/>
        <v>0</v>
      </c>
      <c r="AC80" s="85">
        <f t="shared" ca="1" si="41"/>
        <v>0</v>
      </c>
      <c r="AD80" s="85">
        <f t="shared" ca="1" si="41"/>
        <v>0</v>
      </c>
      <c r="AE80" s="85">
        <f t="shared" ca="1" si="41"/>
        <v>0</v>
      </c>
      <c r="AF80" s="85">
        <f t="shared" ca="1" si="41"/>
        <v>0</v>
      </c>
      <c r="AG80" s="85">
        <f t="shared" ca="1" si="41"/>
        <v>0</v>
      </c>
      <c r="AH80" s="85">
        <f t="shared" ca="1" si="41"/>
        <v>0</v>
      </c>
      <c r="AI80" s="85">
        <f t="shared" ca="1" si="41"/>
        <v>0</v>
      </c>
      <c r="AJ80" s="85">
        <f t="shared" ca="1" si="41"/>
        <v>0</v>
      </c>
      <c r="AK80" s="85">
        <f t="shared" ca="1" si="41"/>
        <v>0</v>
      </c>
      <c r="AL80" s="85">
        <f t="shared" ca="1" si="41"/>
        <v>0</v>
      </c>
      <c r="AM80" s="85">
        <f t="shared" ca="1" si="41"/>
        <v>0</v>
      </c>
      <c r="AN80" s="85">
        <f t="shared" ca="1" si="41"/>
        <v>0</v>
      </c>
      <c r="AO80" s="318">
        <f t="shared" ca="1" si="41"/>
        <v>0</v>
      </c>
      <c r="AP80" s="85">
        <f t="shared" ca="1" si="41"/>
        <v>0</v>
      </c>
      <c r="AQ80" s="85">
        <f t="shared" ca="1" si="41"/>
        <v>0</v>
      </c>
      <c r="AR80" s="85">
        <f t="shared" ca="1" si="41"/>
        <v>0</v>
      </c>
      <c r="AS80" s="85">
        <f t="shared" ca="1" si="41"/>
        <v>0</v>
      </c>
      <c r="AT80" s="85">
        <f t="shared" ca="1" si="41"/>
        <v>0</v>
      </c>
      <c r="AU80" s="85">
        <f t="shared" ca="1" si="41"/>
        <v>0</v>
      </c>
      <c r="AV80" s="85">
        <f t="shared" ca="1" si="41"/>
        <v>0</v>
      </c>
      <c r="AW80" s="85">
        <f t="shared" ca="1" si="41"/>
        <v>0</v>
      </c>
      <c r="AX80" s="85">
        <f t="shared" ca="1" si="41"/>
        <v>0</v>
      </c>
      <c r="AY80" s="85">
        <f t="shared" ca="1" si="41"/>
        <v>0</v>
      </c>
      <c r="AZ80" s="85">
        <f t="shared" ca="1" si="41"/>
        <v>0</v>
      </c>
      <c r="BA80" s="85">
        <f t="shared" ca="1" si="41"/>
        <v>0</v>
      </c>
      <c r="BB80" s="85">
        <f t="shared" ca="1" si="41"/>
        <v>0</v>
      </c>
      <c r="BC80" s="85">
        <f t="shared" ca="1" si="41"/>
        <v>0</v>
      </c>
      <c r="BD80" s="85">
        <f t="shared" ca="1" si="41"/>
        <v>0</v>
      </c>
      <c r="BE80" s="85">
        <f t="shared" ca="1" si="41"/>
        <v>0</v>
      </c>
      <c r="BF80" s="85">
        <f t="shared" ca="1" si="41"/>
        <v>0</v>
      </c>
      <c r="BG80" s="85">
        <f t="shared" ca="1" si="41"/>
        <v>0</v>
      </c>
      <c r="BH80" s="85">
        <f t="shared" ca="1" si="41"/>
        <v>0</v>
      </c>
      <c r="BI80" s="85">
        <f t="shared" ca="1" si="41"/>
        <v>0</v>
      </c>
      <c r="BJ80" s="85">
        <f t="shared" ca="1" si="41"/>
        <v>0</v>
      </c>
      <c r="BK80" s="318">
        <f t="shared" ca="1" si="41"/>
        <v>0</v>
      </c>
      <c r="BL80" s="85">
        <f t="shared" ca="1" si="41"/>
        <v>0</v>
      </c>
      <c r="BM80" s="85">
        <f t="shared" ca="1" si="41"/>
        <v>0</v>
      </c>
      <c r="BN80" s="85">
        <f t="shared" ca="1" si="41"/>
        <v>0</v>
      </c>
      <c r="BO80" s="85">
        <f t="shared" ca="1" si="41"/>
        <v>0</v>
      </c>
      <c r="BP80" s="85">
        <f t="shared" ca="1" si="41"/>
        <v>0</v>
      </c>
      <c r="BQ80" s="85">
        <f t="shared" ca="1" si="41"/>
        <v>0</v>
      </c>
      <c r="BR80" s="85">
        <f t="shared" ref="BR80:CY80" ca="1" si="42">BR68/((1+BR77)^BR6)</f>
        <v>0</v>
      </c>
      <c r="BS80" s="85">
        <f t="shared" ca="1" si="42"/>
        <v>0</v>
      </c>
      <c r="BT80" s="85">
        <f t="shared" ca="1" si="42"/>
        <v>0</v>
      </c>
      <c r="BU80" s="85">
        <f t="shared" ca="1" si="42"/>
        <v>0</v>
      </c>
      <c r="BV80" s="85">
        <f t="shared" ca="1" si="42"/>
        <v>0</v>
      </c>
      <c r="BW80" s="85">
        <f t="shared" ca="1" si="42"/>
        <v>0</v>
      </c>
      <c r="BX80" s="85">
        <f t="shared" ca="1" si="42"/>
        <v>0</v>
      </c>
      <c r="BY80" s="85">
        <f t="shared" ca="1" si="42"/>
        <v>0</v>
      </c>
      <c r="BZ80" s="85">
        <f t="shared" ca="1" si="42"/>
        <v>0</v>
      </c>
      <c r="CA80" s="318">
        <f t="shared" ca="1" si="42"/>
        <v>0</v>
      </c>
      <c r="CB80" s="85">
        <f t="shared" ca="1" si="42"/>
        <v>0</v>
      </c>
      <c r="CC80" s="85">
        <f t="shared" ca="1" si="42"/>
        <v>0</v>
      </c>
      <c r="CD80" s="85">
        <f t="shared" ca="1" si="42"/>
        <v>0</v>
      </c>
      <c r="CE80" s="85">
        <f t="shared" ca="1" si="42"/>
        <v>0</v>
      </c>
      <c r="CF80" s="85">
        <f t="shared" ca="1" si="42"/>
        <v>0</v>
      </c>
      <c r="CG80" s="85">
        <f t="shared" ca="1" si="42"/>
        <v>0</v>
      </c>
      <c r="CH80" s="85">
        <f t="shared" ca="1" si="42"/>
        <v>0</v>
      </c>
      <c r="CI80" s="85">
        <f t="shared" ca="1" si="42"/>
        <v>0</v>
      </c>
      <c r="CJ80" s="85">
        <f t="shared" ca="1" si="42"/>
        <v>0</v>
      </c>
      <c r="CK80" s="85">
        <f t="shared" ca="1" si="42"/>
        <v>0</v>
      </c>
      <c r="CL80" s="85">
        <f t="shared" ca="1" si="42"/>
        <v>0</v>
      </c>
      <c r="CM80" s="85">
        <f t="shared" ca="1" si="42"/>
        <v>0</v>
      </c>
      <c r="CN80" s="85">
        <f t="shared" ca="1" si="42"/>
        <v>0</v>
      </c>
      <c r="CO80" s="85">
        <f t="shared" ca="1" si="42"/>
        <v>0</v>
      </c>
      <c r="CP80" s="85">
        <f t="shared" ca="1" si="42"/>
        <v>0</v>
      </c>
      <c r="CQ80" s="85">
        <f t="shared" ca="1" si="42"/>
        <v>0</v>
      </c>
      <c r="CR80" s="85">
        <f t="shared" ca="1" si="42"/>
        <v>0</v>
      </c>
      <c r="CS80" s="85">
        <f t="shared" ca="1" si="42"/>
        <v>0</v>
      </c>
      <c r="CT80" s="85">
        <f t="shared" ca="1" si="42"/>
        <v>0</v>
      </c>
      <c r="CU80" s="85">
        <f t="shared" ca="1" si="42"/>
        <v>0</v>
      </c>
      <c r="CV80" s="85">
        <f t="shared" ca="1" si="42"/>
        <v>0</v>
      </c>
      <c r="CW80" s="85">
        <f t="shared" ca="1" si="42"/>
        <v>0</v>
      </c>
      <c r="CX80" s="85">
        <f t="shared" ca="1" si="42"/>
        <v>0</v>
      </c>
      <c r="CY80" s="85">
        <f t="shared" ca="1" si="42"/>
        <v>0</v>
      </c>
    </row>
    <row r="81" spans="1:103" ht="15" customHeight="1" thickBot="1" x14ac:dyDescent="0.25">
      <c r="A81" s="89"/>
      <c r="B81" s="49"/>
      <c r="C81" s="271"/>
      <c r="D81" s="4"/>
      <c r="E81" s="4"/>
      <c r="F81" s="4"/>
      <c r="G81" s="4"/>
      <c r="H81" s="4"/>
      <c r="I81" s="4"/>
      <c r="J81" s="4"/>
      <c r="K81" s="4"/>
      <c r="L81" s="4"/>
      <c r="M81" s="4"/>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149"/>
      <c r="AP81" s="4"/>
      <c r="AQ81" s="4"/>
      <c r="AR81" s="4"/>
      <c r="AS81" s="4"/>
      <c r="AT81" s="4"/>
      <c r="AU81" s="4"/>
      <c r="AV81" s="4"/>
      <c r="AW81" s="4"/>
      <c r="AX81" s="4"/>
      <c r="AY81" s="4"/>
      <c r="AZ81" s="4"/>
      <c r="BA81" s="4"/>
      <c r="BB81" s="4"/>
      <c r="BC81" s="4"/>
      <c r="BD81" s="4"/>
      <c r="BE81" s="4"/>
      <c r="BF81" s="4"/>
      <c r="BG81" s="4"/>
      <c r="BH81" s="4"/>
      <c r="BI81" s="4"/>
      <c r="BJ81" s="4"/>
      <c r="BK81" s="149"/>
      <c r="BL81" s="4"/>
      <c r="BM81" s="4"/>
      <c r="BN81" s="4"/>
      <c r="BO81" s="4"/>
      <c r="BP81" s="4"/>
      <c r="BQ81" s="4"/>
      <c r="BR81" s="4"/>
      <c r="BS81" s="4"/>
      <c r="BT81" s="4"/>
      <c r="BU81" s="4"/>
      <c r="BV81" s="4"/>
      <c r="BW81" s="4"/>
      <c r="BX81" s="4"/>
      <c r="BY81" s="4"/>
      <c r="BZ81" s="4"/>
      <c r="CA81" s="149"/>
      <c r="CB81" s="4"/>
      <c r="CC81" s="4"/>
      <c r="CD81" s="4"/>
      <c r="CE81" s="4"/>
      <c r="CF81" s="4"/>
      <c r="CG81" s="4"/>
      <c r="CH81" s="4"/>
      <c r="CI81" s="4"/>
      <c r="CJ81" s="4"/>
      <c r="CK81" s="4"/>
      <c r="CL81" s="4"/>
      <c r="CM81" s="4"/>
      <c r="CN81" s="4"/>
      <c r="CO81" s="4"/>
      <c r="CP81" s="4"/>
      <c r="CQ81" s="4"/>
      <c r="CR81" s="4"/>
      <c r="CS81" s="4"/>
      <c r="CT81" s="4"/>
      <c r="CU81" s="4"/>
      <c r="CV81" s="4"/>
      <c r="CW81" s="4"/>
      <c r="CX81" s="4"/>
      <c r="CY81" s="4"/>
    </row>
    <row r="82" spans="1:103" ht="15" customHeight="1" x14ac:dyDescent="0.2">
      <c r="A82" s="123" t="s">
        <v>80</v>
      </c>
      <c r="B82" s="124"/>
      <c r="C82" s="281">
        <f t="shared" ref="C82:C92" si="43">SUM(D82:CY82)</f>
        <v>0</v>
      </c>
      <c r="D82" s="97">
        <f t="shared" ref="D82:D88" si="44">D53/((1+D$77)^D$6)</f>
        <v>0</v>
      </c>
      <c r="E82" s="97">
        <f t="shared" ref="E82:AI82" si="45">E53/((1+E$77)^E$6)</f>
        <v>0</v>
      </c>
      <c r="F82" s="97">
        <f t="shared" si="45"/>
        <v>0</v>
      </c>
      <c r="G82" s="97">
        <f t="shared" si="45"/>
        <v>0</v>
      </c>
      <c r="H82" s="97">
        <f t="shared" si="45"/>
        <v>0</v>
      </c>
      <c r="I82" s="97">
        <f t="shared" si="45"/>
        <v>0</v>
      </c>
      <c r="J82" s="97">
        <f t="shared" si="45"/>
        <v>0</v>
      </c>
      <c r="K82" s="97">
        <f t="shared" si="45"/>
        <v>0</v>
      </c>
      <c r="L82" s="97">
        <f t="shared" si="45"/>
        <v>0</v>
      </c>
      <c r="M82" s="97">
        <f t="shared" si="45"/>
        <v>0</v>
      </c>
      <c r="N82" s="97">
        <f t="shared" si="45"/>
        <v>0</v>
      </c>
      <c r="O82" s="97">
        <f t="shared" si="45"/>
        <v>0</v>
      </c>
      <c r="P82" s="97">
        <f t="shared" si="45"/>
        <v>0</v>
      </c>
      <c r="Q82" s="97">
        <f t="shared" si="45"/>
        <v>0</v>
      </c>
      <c r="R82" s="97">
        <f t="shared" si="45"/>
        <v>0</v>
      </c>
      <c r="S82" s="97">
        <f t="shared" si="45"/>
        <v>0</v>
      </c>
      <c r="T82" s="97">
        <f t="shared" si="45"/>
        <v>0</v>
      </c>
      <c r="U82" s="97">
        <f t="shared" si="45"/>
        <v>0</v>
      </c>
      <c r="V82" s="97">
        <f t="shared" si="45"/>
        <v>0</v>
      </c>
      <c r="W82" s="97">
        <f t="shared" si="45"/>
        <v>0</v>
      </c>
      <c r="X82" s="97">
        <f t="shared" si="45"/>
        <v>0</v>
      </c>
      <c r="Y82" s="97">
        <f t="shared" si="45"/>
        <v>0</v>
      </c>
      <c r="Z82" s="97">
        <f t="shared" si="45"/>
        <v>0</v>
      </c>
      <c r="AA82" s="97">
        <f t="shared" si="45"/>
        <v>0</v>
      </c>
      <c r="AB82" s="97">
        <f t="shared" si="45"/>
        <v>0</v>
      </c>
      <c r="AC82" s="97">
        <f t="shared" si="45"/>
        <v>0</v>
      </c>
      <c r="AD82" s="97">
        <f t="shared" si="45"/>
        <v>0</v>
      </c>
      <c r="AE82" s="97">
        <f t="shared" si="45"/>
        <v>0</v>
      </c>
      <c r="AF82" s="97">
        <f t="shared" si="45"/>
        <v>0</v>
      </c>
      <c r="AG82" s="97">
        <f t="shared" si="45"/>
        <v>0</v>
      </c>
      <c r="AH82" s="97">
        <f t="shared" si="45"/>
        <v>0</v>
      </c>
      <c r="AI82" s="97">
        <f t="shared" si="45"/>
        <v>0</v>
      </c>
      <c r="AJ82" s="97">
        <f t="shared" ref="AJ82:BO82" si="46">AJ53/((1+AJ$77)^AJ$6)</f>
        <v>0</v>
      </c>
      <c r="AK82" s="97">
        <f t="shared" si="46"/>
        <v>0</v>
      </c>
      <c r="AL82" s="97">
        <f t="shared" si="46"/>
        <v>0</v>
      </c>
      <c r="AM82" s="97">
        <f t="shared" si="46"/>
        <v>0</v>
      </c>
      <c r="AN82" s="97">
        <f t="shared" si="46"/>
        <v>0</v>
      </c>
      <c r="AO82" s="319">
        <f t="shared" si="46"/>
        <v>0</v>
      </c>
      <c r="AP82" s="97">
        <f t="shared" si="46"/>
        <v>0</v>
      </c>
      <c r="AQ82" s="97">
        <f t="shared" si="46"/>
        <v>0</v>
      </c>
      <c r="AR82" s="97">
        <f t="shared" si="46"/>
        <v>0</v>
      </c>
      <c r="AS82" s="97">
        <f t="shared" si="46"/>
        <v>0</v>
      </c>
      <c r="AT82" s="97">
        <f t="shared" si="46"/>
        <v>0</v>
      </c>
      <c r="AU82" s="97">
        <f t="shared" si="46"/>
        <v>0</v>
      </c>
      <c r="AV82" s="97">
        <f t="shared" si="46"/>
        <v>0</v>
      </c>
      <c r="AW82" s="97">
        <f t="shared" si="46"/>
        <v>0</v>
      </c>
      <c r="AX82" s="97">
        <f t="shared" si="46"/>
        <v>0</v>
      </c>
      <c r="AY82" s="97">
        <f t="shared" si="46"/>
        <v>0</v>
      </c>
      <c r="AZ82" s="97">
        <f t="shared" si="46"/>
        <v>0</v>
      </c>
      <c r="BA82" s="97">
        <f t="shared" si="46"/>
        <v>0</v>
      </c>
      <c r="BB82" s="97">
        <f t="shared" si="46"/>
        <v>0</v>
      </c>
      <c r="BC82" s="97">
        <f t="shared" si="46"/>
        <v>0</v>
      </c>
      <c r="BD82" s="97">
        <f t="shared" si="46"/>
        <v>0</v>
      </c>
      <c r="BE82" s="97">
        <f t="shared" si="46"/>
        <v>0</v>
      </c>
      <c r="BF82" s="97">
        <f t="shared" si="46"/>
        <v>0</v>
      </c>
      <c r="BG82" s="97">
        <f t="shared" si="46"/>
        <v>0</v>
      </c>
      <c r="BH82" s="97">
        <f t="shared" si="46"/>
        <v>0</v>
      </c>
      <c r="BI82" s="97">
        <f t="shared" si="46"/>
        <v>0</v>
      </c>
      <c r="BJ82" s="97">
        <f t="shared" si="46"/>
        <v>0</v>
      </c>
      <c r="BK82" s="319">
        <f t="shared" si="46"/>
        <v>0</v>
      </c>
      <c r="BL82" s="97">
        <f t="shared" si="46"/>
        <v>0</v>
      </c>
      <c r="BM82" s="97">
        <f t="shared" si="46"/>
        <v>0</v>
      </c>
      <c r="BN82" s="97">
        <f t="shared" si="46"/>
        <v>0</v>
      </c>
      <c r="BO82" s="97">
        <f t="shared" si="46"/>
        <v>0</v>
      </c>
      <c r="BP82" s="97">
        <f t="shared" ref="BP82:CY82" si="47">BP53/((1+BP$77)^BP$6)</f>
        <v>0</v>
      </c>
      <c r="BQ82" s="97">
        <f t="shared" si="47"/>
        <v>0</v>
      </c>
      <c r="BR82" s="97">
        <f t="shared" si="47"/>
        <v>0</v>
      </c>
      <c r="BS82" s="97">
        <f t="shared" si="47"/>
        <v>0</v>
      </c>
      <c r="BT82" s="97">
        <f t="shared" si="47"/>
        <v>0</v>
      </c>
      <c r="BU82" s="97">
        <f t="shared" si="47"/>
        <v>0</v>
      </c>
      <c r="BV82" s="97">
        <f t="shared" si="47"/>
        <v>0</v>
      </c>
      <c r="BW82" s="97">
        <f t="shared" si="47"/>
        <v>0</v>
      </c>
      <c r="BX82" s="97">
        <f t="shared" si="47"/>
        <v>0</v>
      </c>
      <c r="BY82" s="97">
        <f t="shared" si="47"/>
        <v>0</v>
      </c>
      <c r="BZ82" s="97">
        <f t="shared" si="47"/>
        <v>0</v>
      </c>
      <c r="CA82" s="319">
        <f t="shared" si="47"/>
        <v>0</v>
      </c>
      <c r="CB82" s="97">
        <f t="shared" si="47"/>
        <v>0</v>
      </c>
      <c r="CC82" s="97">
        <f t="shared" si="47"/>
        <v>0</v>
      </c>
      <c r="CD82" s="97">
        <f t="shared" si="47"/>
        <v>0</v>
      </c>
      <c r="CE82" s="97">
        <f t="shared" si="47"/>
        <v>0</v>
      </c>
      <c r="CF82" s="97">
        <f t="shared" si="47"/>
        <v>0</v>
      </c>
      <c r="CG82" s="97">
        <f t="shared" si="47"/>
        <v>0</v>
      </c>
      <c r="CH82" s="97">
        <f t="shared" si="47"/>
        <v>0</v>
      </c>
      <c r="CI82" s="97">
        <f t="shared" si="47"/>
        <v>0</v>
      </c>
      <c r="CJ82" s="97">
        <f t="shared" si="47"/>
        <v>0</v>
      </c>
      <c r="CK82" s="97">
        <f t="shared" si="47"/>
        <v>0</v>
      </c>
      <c r="CL82" s="97">
        <f t="shared" si="47"/>
        <v>0</v>
      </c>
      <c r="CM82" s="97">
        <f t="shared" si="47"/>
        <v>0</v>
      </c>
      <c r="CN82" s="97">
        <f t="shared" si="47"/>
        <v>0</v>
      </c>
      <c r="CO82" s="97">
        <f t="shared" si="47"/>
        <v>0</v>
      </c>
      <c r="CP82" s="97">
        <f t="shared" si="47"/>
        <v>0</v>
      </c>
      <c r="CQ82" s="97">
        <f t="shared" si="47"/>
        <v>0</v>
      </c>
      <c r="CR82" s="97">
        <f t="shared" si="47"/>
        <v>0</v>
      </c>
      <c r="CS82" s="97">
        <f t="shared" si="47"/>
        <v>0</v>
      </c>
      <c r="CT82" s="97">
        <f t="shared" si="47"/>
        <v>0</v>
      </c>
      <c r="CU82" s="97">
        <f t="shared" si="47"/>
        <v>0</v>
      </c>
      <c r="CV82" s="97">
        <f t="shared" si="47"/>
        <v>0</v>
      </c>
      <c r="CW82" s="97">
        <f t="shared" si="47"/>
        <v>0</v>
      </c>
      <c r="CX82" s="97">
        <f t="shared" si="47"/>
        <v>0</v>
      </c>
      <c r="CY82" s="97">
        <f t="shared" si="47"/>
        <v>0</v>
      </c>
    </row>
    <row r="83" spans="1:103" ht="15" customHeight="1" x14ac:dyDescent="0.2">
      <c r="A83" s="126" t="s">
        <v>79</v>
      </c>
      <c r="B83" s="127"/>
      <c r="C83" s="282">
        <f t="shared" ca="1" si="43"/>
        <v>0</v>
      </c>
      <c r="D83" s="125">
        <f t="shared" si="44"/>
        <v>0</v>
      </c>
      <c r="E83" s="125">
        <f t="shared" ref="E83:AI83" ca="1" si="48">E54/((1+E$77)^E$6)</f>
        <v>0</v>
      </c>
      <c r="F83" s="125">
        <f t="shared" ca="1" si="48"/>
        <v>0</v>
      </c>
      <c r="G83" s="125">
        <f t="shared" ca="1" si="48"/>
        <v>0</v>
      </c>
      <c r="H83" s="125">
        <f t="shared" ca="1" si="48"/>
        <v>0</v>
      </c>
      <c r="I83" s="125">
        <f t="shared" ca="1" si="48"/>
        <v>0</v>
      </c>
      <c r="J83" s="125">
        <f t="shared" ca="1" si="48"/>
        <v>0</v>
      </c>
      <c r="K83" s="125">
        <f t="shared" ca="1" si="48"/>
        <v>0</v>
      </c>
      <c r="L83" s="125">
        <f t="shared" ca="1" si="48"/>
        <v>0</v>
      </c>
      <c r="M83" s="125">
        <f t="shared" ca="1" si="48"/>
        <v>0</v>
      </c>
      <c r="N83" s="125">
        <f t="shared" ca="1" si="48"/>
        <v>0</v>
      </c>
      <c r="O83" s="125">
        <f t="shared" ca="1" si="48"/>
        <v>0</v>
      </c>
      <c r="P83" s="125">
        <f t="shared" ca="1" si="48"/>
        <v>0</v>
      </c>
      <c r="Q83" s="125">
        <f t="shared" ca="1" si="48"/>
        <v>0</v>
      </c>
      <c r="R83" s="125">
        <f t="shared" ca="1" si="48"/>
        <v>0</v>
      </c>
      <c r="S83" s="125">
        <f t="shared" ca="1" si="48"/>
        <v>0</v>
      </c>
      <c r="T83" s="125">
        <f t="shared" ca="1" si="48"/>
        <v>0</v>
      </c>
      <c r="U83" s="125">
        <f t="shared" ca="1" si="48"/>
        <v>0</v>
      </c>
      <c r="V83" s="125">
        <f t="shared" ca="1" si="48"/>
        <v>0</v>
      </c>
      <c r="W83" s="125">
        <f t="shared" ca="1" si="48"/>
        <v>0</v>
      </c>
      <c r="X83" s="125">
        <f t="shared" ca="1" si="48"/>
        <v>0</v>
      </c>
      <c r="Y83" s="125">
        <f t="shared" ca="1" si="48"/>
        <v>0</v>
      </c>
      <c r="Z83" s="125">
        <f t="shared" ca="1" si="48"/>
        <v>0</v>
      </c>
      <c r="AA83" s="125">
        <f t="shared" ca="1" si="48"/>
        <v>0</v>
      </c>
      <c r="AB83" s="125">
        <f t="shared" ca="1" si="48"/>
        <v>0</v>
      </c>
      <c r="AC83" s="125">
        <f t="shared" ca="1" si="48"/>
        <v>0</v>
      </c>
      <c r="AD83" s="125">
        <f t="shared" ca="1" si="48"/>
        <v>0</v>
      </c>
      <c r="AE83" s="125">
        <f t="shared" ca="1" si="48"/>
        <v>0</v>
      </c>
      <c r="AF83" s="125">
        <f t="shared" ca="1" si="48"/>
        <v>0</v>
      </c>
      <c r="AG83" s="125">
        <f t="shared" ca="1" si="48"/>
        <v>0</v>
      </c>
      <c r="AH83" s="125">
        <f t="shared" ca="1" si="48"/>
        <v>0</v>
      </c>
      <c r="AI83" s="125">
        <f t="shared" ca="1" si="48"/>
        <v>0</v>
      </c>
      <c r="AJ83" s="125">
        <f t="shared" ref="AJ83:BO83" ca="1" si="49">AJ54/((1+AJ$77)^AJ$6)</f>
        <v>0</v>
      </c>
      <c r="AK83" s="125">
        <f t="shared" ca="1" si="49"/>
        <v>0</v>
      </c>
      <c r="AL83" s="125">
        <f t="shared" ca="1" si="49"/>
        <v>0</v>
      </c>
      <c r="AM83" s="125">
        <f t="shared" ca="1" si="49"/>
        <v>0</v>
      </c>
      <c r="AN83" s="125">
        <f t="shared" ca="1" si="49"/>
        <v>0</v>
      </c>
      <c r="AO83" s="320">
        <f t="shared" ca="1" si="49"/>
        <v>0</v>
      </c>
      <c r="AP83" s="125">
        <f t="shared" ca="1" si="49"/>
        <v>0</v>
      </c>
      <c r="AQ83" s="125">
        <f t="shared" ca="1" si="49"/>
        <v>0</v>
      </c>
      <c r="AR83" s="125">
        <f t="shared" ca="1" si="49"/>
        <v>0</v>
      </c>
      <c r="AS83" s="125">
        <f t="shared" ca="1" si="49"/>
        <v>0</v>
      </c>
      <c r="AT83" s="125">
        <f t="shared" ca="1" si="49"/>
        <v>0</v>
      </c>
      <c r="AU83" s="125">
        <f t="shared" ca="1" si="49"/>
        <v>0</v>
      </c>
      <c r="AV83" s="125">
        <f t="shared" ca="1" si="49"/>
        <v>0</v>
      </c>
      <c r="AW83" s="125">
        <f t="shared" ca="1" si="49"/>
        <v>0</v>
      </c>
      <c r="AX83" s="125">
        <f t="shared" ca="1" si="49"/>
        <v>0</v>
      </c>
      <c r="AY83" s="125">
        <f t="shared" ca="1" si="49"/>
        <v>0</v>
      </c>
      <c r="AZ83" s="125">
        <f t="shared" ca="1" si="49"/>
        <v>0</v>
      </c>
      <c r="BA83" s="125">
        <f t="shared" ca="1" si="49"/>
        <v>0</v>
      </c>
      <c r="BB83" s="125">
        <f t="shared" ca="1" si="49"/>
        <v>0</v>
      </c>
      <c r="BC83" s="125">
        <f t="shared" ca="1" si="49"/>
        <v>0</v>
      </c>
      <c r="BD83" s="125">
        <f t="shared" ca="1" si="49"/>
        <v>0</v>
      </c>
      <c r="BE83" s="125">
        <f t="shared" ca="1" si="49"/>
        <v>0</v>
      </c>
      <c r="BF83" s="125">
        <f t="shared" ca="1" si="49"/>
        <v>0</v>
      </c>
      <c r="BG83" s="125">
        <f t="shared" ca="1" si="49"/>
        <v>0</v>
      </c>
      <c r="BH83" s="125">
        <f t="shared" ca="1" si="49"/>
        <v>0</v>
      </c>
      <c r="BI83" s="125">
        <f t="shared" ca="1" si="49"/>
        <v>0</v>
      </c>
      <c r="BJ83" s="125">
        <f t="shared" ca="1" si="49"/>
        <v>0</v>
      </c>
      <c r="BK83" s="320">
        <f t="shared" ca="1" si="49"/>
        <v>0</v>
      </c>
      <c r="BL83" s="125">
        <f t="shared" ca="1" si="49"/>
        <v>0</v>
      </c>
      <c r="BM83" s="125">
        <f t="shared" ca="1" si="49"/>
        <v>0</v>
      </c>
      <c r="BN83" s="125">
        <f t="shared" ca="1" si="49"/>
        <v>0</v>
      </c>
      <c r="BO83" s="125">
        <f t="shared" ca="1" si="49"/>
        <v>0</v>
      </c>
      <c r="BP83" s="125">
        <f t="shared" ref="BP83:CY83" ca="1" si="50">BP54/((1+BP$77)^BP$6)</f>
        <v>0</v>
      </c>
      <c r="BQ83" s="125">
        <f t="shared" ca="1" si="50"/>
        <v>0</v>
      </c>
      <c r="BR83" s="125">
        <f t="shared" ca="1" si="50"/>
        <v>0</v>
      </c>
      <c r="BS83" s="125">
        <f t="shared" ca="1" si="50"/>
        <v>0</v>
      </c>
      <c r="BT83" s="125">
        <f t="shared" ca="1" si="50"/>
        <v>0</v>
      </c>
      <c r="BU83" s="125">
        <f t="shared" ca="1" si="50"/>
        <v>0</v>
      </c>
      <c r="BV83" s="125">
        <f t="shared" ca="1" si="50"/>
        <v>0</v>
      </c>
      <c r="BW83" s="125">
        <f t="shared" ca="1" si="50"/>
        <v>0</v>
      </c>
      <c r="BX83" s="125">
        <f t="shared" ca="1" si="50"/>
        <v>0</v>
      </c>
      <c r="BY83" s="125">
        <f t="shared" ca="1" si="50"/>
        <v>0</v>
      </c>
      <c r="BZ83" s="125">
        <f t="shared" ca="1" si="50"/>
        <v>0</v>
      </c>
      <c r="CA83" s="320">
        <f t="shared" ca="1" si="50"/>
        <v>0</v>
      </c>
      <c r="CB83" s="125">
        <f t="shared" ca="1" si="50"/>
        <v>0</v>
      </c>
      <c r="CC83" s="125">
        <f t="shared" ca="1" si="50"/>
        <v>0</v>
      </c>
      <c r="CD83" s="125">
        <f t="shared" ca="1" si="50"/>
        <v>0</v>
      </c>
      <c r="CE83" s="125">
        <f t="shared" ca="1" si="50"/>
        <v>0</v>
      </c>
      <c r="CF83" s="125">
        <f t="shared" ca="1" si="50"/>
        <v>0</v>
      </c>
      <c r="CG83" s="125">
        <f t="shared" ca="1" si="50"/>
        <v>0</v>
      </c>
      <c r="CH83" s="125">
        <f t="shared" ca="1" si="50"/>
        <v>0</v>
      </c>
      <c r="CI83" s="125">
        <f t="shared" ca="1" si="50"/>
        <v>0</v>
      </c>
      <c r="CJ83" s="125">
        <f t="shared" ca="1" si="50"/>
        <v>0</v>
      </c>
      <c r="CK83" s="125">
        <f t="shared" ca="1" si="50"/>
        <v>0</v>
      </c>
      <c r="CL83" s="125">
        <f t="shared" ca="1" si="50"/>
        <v>0</v>
      </c>
      <c r="CM83" s="125">
        <f t="shared" ca="1" si="50"/>
        <v>0</v>
      </c>
      <c r="CN83" s="125">
        <f t="shared" ca="1" si="50"/>
        <v>0</v>
      </c>
      <c r="CO83" s="125">
        <f t="shared" ca="1" si="50"/>
        <v>0</v>
      </c>
      <c r="CP83" s="125">
        <f t="shared" ca="1" si="50"/>
        <v>0</v>
      </c>
      <c r="CQ83" s="125">
        <f t="shared" ca="1" si="50"/>
        <v>0</v>
      </c>
      <c r="CR83" s="125">
        <f t="shared" ca="1" si="50"/>
        <v>0</v>
      </c>
      <c r="CS83" s="125">
        <f t="shared" ca="1" si="50"/>
        <v>0</v>
      </c>
      <c r="CT83" s="125">
        <f t="shared" ca="1" si="50"/>
        <v>0</v>
      </c>
      <c r="CU83" s="125">
        <f t="shared" ca="1" si="50"/>
        <v>0</v>
      </c>
      <c r="CV83" s="125">
        <f t="shared" ca="1" si="50"/>
        <v>0</v>
      </c>
      <c r="CW83" s="125">
        <f t="shared" ca="1" si="50"/>
        <v>0</v>
      </c>
      <c r="CX83" s="125">
        <f t="shared" ca="1" si="50"/>
        <v>0</v>
      </c>
      <c r="CY83" s="125">
        <f t="shared" ca="1" si="50"/>
        <v>0</v>
      </c>
    </row>
    <row r="84" spans="1:103" ht="15" customHeight="1" x14ac:dyDescent="0.2">
      <c r="A84" s="126" t="s">
        <v>81</v>
      </c>
      <c r="B84" s="127"/>
      <c r="C84" s="282">
        <f t="shared" si="43"/>
        <v>0</v>
      </c>
      <c r="D84" s="125">
        <f t="shared" si="44"/>
        <v>0</v>
      </c>
      <c r="E84" s="125">
        <f t="shared" ref="E84:AI84" si="51">E55/((1+E$77)^E$6)</f>
        <v>0</v>
      </c>
      <c r="F84" s="125">
        <f t="shared" si="51"/>
        <v>0</v>
      </c>
      <c r="G84" s="125">
        <f t="shared" si="51"/>
        <v>0</v>
      </c>
      <c r="H84" s="125">
        <f t="shared" si="51"/>
        <v>0</v>
      </c>
      <c r="I84" s="125">
        <f t="shared" si="51"/>
        <v>0</v>
      </c>
      <c r="J84" s="125">
        <f t="shared" si="51"/>
        <v>0</v>
      </c>
      <c r="K84" s="125">
        <f t="shared" si="51"/>
        <v>0</v>
      </c>
      <c r="L84" s="125">
        <f t="shared" si="51"/>
        <v>0</v>
      </c>
      <c r="M84" s="125">
        <f t="shared" si="51"/>
        <v>0</v>
      </c>
      <c r="N84" s="125">
        <f t="shared" si="51"/>
        <v>0</v>
      </c>
      <c r="O84" s="125">
        <f t="shared" si="51"/>
        <v>0</v>
      </c>
      <c r="P84" s="125">
        <f t="shared" si="51"/>
        <v>0</v>
      </c>
      <c r="Q84" s="125">
        <f t="shared" si="51"/>
        <v>0</v>
      </c>
      <c r="R84" s="125">
        <f t="shared" si="51"/>
        <v>0</v>
      </c>
      <c r="S84" s="125">
        <f t="shared" si="51"/>
        <v>0</v>
      </c>
      <c r="T84" s="125">
        <f t="shared" si="51"/>
        <v>0</v>
      </c>
      <c r="U84" s="125">
        <f t="shared" si="51"/>
        <v>0</v>
      </c>
      <c r="V84" s="125">
        <f t="shared" si="51"/>
        <v>0</v>
      </c>
      <c r="W84" s="125">
        <f t="shared" si="51"/>
        <v>0</v>
      </c>
      <c r="X84" s="125">
        <f t="shared" si="51"/>
        <v>0</v>
      </c>
      <c r="Y84" s="125">
        <f t="shared" si="51"/>
        <v>0</v>
      </c>
      <c r="Z84" s="125">
        <f t="shared" si="51"/>
        <v>0</v>
      </c>
      <c r="AA84" s="125">
        <f t="shared" si="51"/>
        <v>0</v>
      </c>
      <c r="AB84" s="125">
        <f t="shared" si="51"/>
        <v>0</v>
      </c>
      <c r="AC84" s="125">
        <f t="shared" si="51"/>
        <v>0</v>
      </c>
      <c r="AD84" s="125">
        <f t="shared" si="51"/>
        <v>0</v>
      </c>
      <c r="AE84" s="125">
        <f t="shared" si="51"/>
        <v>0</v>
      </c>
      <c r="AF84" s="125">
        <f t="shared" si="51"/>
        <v>0</v>
      </c>
      <c r="AG84" s="125">
        <f t="shared" si="51"/>
        <v>0</v>
      </c>
      <c r="AH84" s="125">
        <f t="shared" si="51"/>
        <v>0</v>
      </c>
      <c r="AI84" s="125">
        <f t="shared" si="51"/>
        <v>0</v>
      </c>
      <c r="AJ84" s="125">
        <f t="shared" ref="AJ84:BO84" si="52">AJ55/((1+AJ$77)^AJ$6)</f>
        <v>0</v>
      </c>
      <c r="AK84" s="125">
        <f t="shared" si="52"/>
        <v>0</v>
      </c>
      <c r="AL84" s="125">
        <f t="shared" si="52"/>
        <v>0</v>
      </c>
      <c r="AM84" s="125">
        <f t="shared" si="52"/>
        <v>0</v>
      </c>
      <c r="AN84" s="125">
        <f t="shared" si="52"/>
        <v>0</v>
      </c>
      <c r="AO84" s="320">
        <f t="shared" si="52"/>
        <v>0</v>
      </c>
      <c r="AP84" s="125">
        <f t="shared" si="52"/>
        <v>0</v>
      </c>
      <c r="AQ84" s="125">
        <f t="shared" si="52"/>
        <v>0</v>
      </c>
      <c r="AR84" s="125">
        <f t="shared" si="52"/>
        <v>0</v>
      </c>
      <c r="AS84" s="125">
        <f t="shared" si="52"/>
        <v>0</v>
      </c>
      <c r="AT84" s="125">
        <f t="shared" si="52"/>
        <v>0</v>
      </c>
      <c r="AU84" s="125">
        <f t="shared" si="52"/>
        <v>0</v>
      </c>
      <c r="AV84" s="125">
        <f t="shared" si="52"/>
        <v>0</v>
      </c>
      <c r="AW84" s="125">
        <f t="shared" si="52"/>
        <v>0</v>
      </c>
      <c r="AX84" s="125">
        <f t="shared" si="52"/>
        <v>0</v>
      </c>
      <c r="AY84" s="125">
        <f t="shared" si="52"/>
        <v>0</v>
      </c>
      <c r="AZ84" s="125">
        <f t="shared" si="52"/>
        <v>0</v>
      </c>
      <c r="BA84" s="125">
        <f t="shared" si="52"/>
        <v>0</v>
      </c>
      <c r="BB84" s="125">
        <f t="shared" si="52"/>
        <v>0</v>
      </c>
      <c r="BC84" s="125">
        <f t="shared" si="52"/>
        <v>0</v>
      </c>
      <c r="BD84" s="125">
        <f t="shared" si="52"/>
        <v>0</v>
      </c>
      <c r="BE84" s="125">
        <f t="shared" si="52"/>
        <v>0</v>
      </c>
      <c r="BF84" s="125">
        <f t="shared" si="52"/>
        <v>0</v>
      </c>
      <c r="BG84" s="125">
        <f t="shared" si="52"/>
        <v>0</v>
      </c>
      <c r="BH84" s="125">
        <f t="shared" si="52"/>
        <v>0</v>
      </c>
      <c r="BI84" s="125">
        <f t="shared" si="52"/>
        <v>0</v>
      </c>
      <c r="BJ84" s="125">
        <f t="shared" si="52"/>
        <v>0</v>
      </c>
      <c r="BK84" s="320">
        <f t="shared" si="52"/>
        <v>0</v>
      </c>
      <c r="BL84" s="125">
        <f t="shared" si="52"/>
        <v>0</v>
      </c>
      <c r="BM84" s="125">
        <f t="shared" si="52"/>
        <v>0</v>
      </c>
      <c r="BN84" s="125">
        <f t="shared" si="52"/>
        <v>0</v>
      </c>
      <c r="BO84" s="125">
        <f t="shared" si="52"/>
        <v>0</v>
      </c>
      <c r="BP84" s="125">
        <f t="shared" ref="BP84:CY84" si="53">BP55/((1+BP$77)^BP$6)</f>
        <v>0</v>
      </c>
      <c r="BQ84" s="125">
        <f t="shared" si="53"/>
        <v>0</v>
      </c>
      <c r="BR84" s="125">
        <f t="shared" si="53"/>
        <v>0</v>
      </c>
      <c r="BS84" s="125">
        <f t="shared" si="53"/>
        <v>0</v>
      </c>
      <c r="BT84" s="125">
        <f t="shared" si="53"/>
        <v>0</v>
      </c>
      <c r="BU84" s="125">
        <f t="shared" si="53"/>
        <v>0</v>
      </c>
      <c r="BV84" s="125">
        <f t="shared" si="53"/>
        <v>0</v>
      </c>
      <c r="BW84" s="125">
        <f t="shared" si="53"/>
        <v>0</v>
      </c>
      <c r="BX84" s="125">
        <f t="shared" si="53"/>
        <v>0</v>
      </c>
      <c r="BY84" s="125">
        <f t="shared" si="53"/>
        <v>0</v>
      </c>
      <c r="BZ84" s="125">
        <f t="shared" si="53"/>
        <v>0</v>
      </c>
      <c r="CA84" s="320">
        <f t="shared" si="53"/>
        <v>0</v>
      </c>
      <c r="CB84" s="125">
        <f t="shared" si="53"/>
        <v>0</v>
      </c>
      <c r="CC84" s="125">
        <f t="shared" si="53"/>
        <v>0</v>
      </c>
      <c r="CD84" s="125">
        <f t="shared" si="53"/>
        <v>0</v>
      </c>
      <c r="CE84" s="125">
        <f t="shared" si="53"/>
        <v>0</v>
      </c>
      <c r="CF84" s="125">
        <f t="shared" si="53"/>
        <v>0</v>
      </c>
      <c r="CG84" s="125">
        <f t="shared" si="53"/>
        <v>0</v>
      </c>
      <c r="CH84" s="125">
        <f t="shared" si="53"/>
        <v>0</v>
      </c>
      <c r="CI84" s="125">
        <f t="shared" si="53"/>
        <v>0</v>
      </c>
      <c r="CJ84" s="125">
        <f t="shared" si="53"/>
        <v>0</v>
      </c>
      <c r="CK84" s="125">
        <f t="shared" si="53"/>
        <v>0</v>
      </c>
      <c r="CL84" s="125">
        <f t="shared" si="53"/>
        <v>0</v>
      </c>
      <c r="CM84" s="125">
        <f t="shared" si="53"/>
        <v>0</v>
      </c>
      <c r="CN84" s="125">
        <f t="shared" si="53"/>
        <v>0</v>
      </c>
      <c r="CO84" s="125">
        <f t="shared" si="53"/>
        <v>0</v>
      </c>
      <c r="CP84" s="125">
        <f t="shared" si="53"/>
        <v>0</v>
      </c>
      <c r="CQ84" s="125">
        <f t="shared" si="53"/>
        <v>0</v>
      </c>
      <c r="CR84" s="125">
        <f t="shared" si="53"/>
        <v>0</v>
      </c>
      <c r="CS84" s="125">
        <f t="shared" si="53"/>
        <v>0</v>
      </c>
      <c r="CT84" s="125">
        <f t="shared" si="53"/>
        <v>0</v>
      </c>
      <c r="CU84" s="125">
        <f t="shared" si="53"/>
        <v>0</v>
      </c>
      <c r="CV84" s="125">
        <f t="shared" si="53"/>
        <v>0</v>
      </c>
      <c r="CW84" s="125">
        <f t="shared" si="53"/>
        <v>0</v>
      </c>
      <c r="CX84" s="125">
        <f t="shared" si="53"/>
        <v>0</v>
      </c>
      <c r="CY84" s="125">
        <f t="shared" si="53"/>
        <v>0</v>
      </c>
    </row>
    <row r="85" spans="1:103" ht="15" customHeight="1" x14ac:dyDescent="0.2">
      <c r="A85" s="126" t="s">
        <v>82</v>
      </c>
      <c r="B85" s="127"/>
      <c r="C85" s="282">
        <f t="shared" si="43"/>
        <v>0</v>
      </c>
      <c r="D85" s="125">
        <f t="shared" si="44"/>
        <v>0</v>
      </c>
      <c r="E85" s="125">
        <f t="shared" ref="E85:AI85" si="54">E56/((1+E$77)^E$6)</f>
        <v>0</v>
      </c>
      <c r="F85" s="125">
        <f t="shared" si="54"/>
        <v>0</v>
      </c>
      <c r="G85" s="125">
        <f t="shared" si="54"/>
        <v>0</v>
      </c>
      <c r="H85" s="125">
        <f t="shared" si="54"/>
        <v>0</v>
      </c>
      <c r="I85" s="125">
        <f t="shared" si="54"/>
        <v>0</v>
      </c>
      <c r="J85" s="125">
        <f t="shared" si="54"/>
        <v>0</v>
      </c>
      <c r="K85" s="125">
        <f t="shared" si="54"/>
        <v>0</v>
      </c>
      <c r="L85" s="125">
        <f t="shared" si="54"/>
        <v>0</v>
      </c>
      <c r="M85" s="125">
        <f t="shared" si="54"/>
        <v>0</v>
      </c>
      <c r="N85" s="125">
        <f t="shared" si="54"/>
        <v>0</v>
      </c>
      <c r="O85" s="125">
        <f t="shared" si="54"/>
        <v>0</v>
      </c>
      <c r="P85" s="125">
        <f t="shared" si="54"/>
        <v>0</v>
      </c>
      <c r="Q85" s="125">
        <f t="shared" si="54"/>
        <v>0</v>
      </c>
      <c r="R85" s="125">
        <f t="shared" si="54"/>
        <v>0</v>
      </c>
      <c r="S85" s="125">
        <f t="shared" si="54"/>
        <v>0</v>
      </c>
      <c r="T85" s="125">
        <f t="shared" si="54"/>
        <v>0</v>
      </c>
      <c r="U85" s="125">
        <f t="shared" si="54"/>
        <v>0</v>
      </c>
      <c r="V85" s="125">
        <f t="shared" si="54"/>
        <v>0</v>
      </c>
      <c r="W85" s="125">
        <f t="shared" si="54"/>
        <v>0</v>
      </c>
      <c r="X85" s="125">
        <f t="shared" si="54"/>
        <v>0</v>
      </c>
      <c r="Y85" s="125">
        <f t="shared" si="54"/>
        <v>0</v>
      </c>
      <c r="Z85" s="125">
        <f t="shared" si="54"/>
        <v>0</v>
      </c>
      <c r="AA85" s="125">
        <f t="shared" si="54"/>
        <v>0</v>
      </c>
      <c r="AB85" s="125">
        <f t="shared" si="54"/>
        <v>0</v>
      </c>
      <c r="AC85" s="125">
        <f t="shared" si="54"/>
        <v>0</v>
      </c>
      <c r="AD85" s="125">
        <f t="shared" si="54"/>
        <v>0</v>
      </c>
      <c r="AE85" s="125">
        <f t="shared" si="54"/>
        <v>0</v>
      </c>
      <c r="AF85" s="125">
        <f t="shared" si="54"/>
        <v>0</v>
      </c>
      <c r="AG85" s="125">
        <f t="shared" si="54"/>
        <v>0</v>
      </c>
      <c r="AH85" s="125">
        <f t="shared" si="54"/>
        <v>0</v>
      </c>
      <c r="AI85" s="125">
        <f t="shared" si="54"/>
        <v>0</v>
      </c>
      <c r="AJ85" s="125">
        <f t="shared" ref="AJ85:BO85" si="55">AJ56/((1+AJ$77)^AJ$6)</f>
        <v>0</v>
      </c>
      <c r="AK85" s="125">
        <f t="shared" si="55"/>
        <v>0</v>
      </c>
      <c r="AL85" s="125">
        <f t="shared" si="55"/>
        <v>0</v>
      </c>
      <c r="AM85" s="125">
        <f t="shared" si="55"/>
        <v>0</v>
      </c>
      <c r="AN85" s="125">
        <f t="shared" si="55"/>
        <v>0</v>
      </c>
      <c r="AO85" s="320">
        <f t="shared" si="55"/>
        <v>0</v>
      </c>
      <c r="AP85" s="125">
        <f t="shared" si="55"/>
        <v>0</v>
      </c>
      <c r="AQ85" s="125">
        <f t="shared" si="55"/>
        <v>0</v>
      </c>
      <c r="AR85" s="125">
        <f t="shared" si="55"/>
        <v>0</v>
      </c>
      <c r="AS85" s="125">
        <f t="shared" si="55"/>
        <v>0</v>
      </c>
      <c r="AT85" s="125">
        <f t="shared" si="55"/>
        <v>0</v>
      </c>
      <c r="AU85" s="125">
        <f t="shared" si="55"/>
        <v>0</v>
      </c>
      <c r="AV85" s="125">
        <f t="shared" si="55"/>
        <v>0</v>
      </c>
      <c r="AW85" s="125">
        <f t="shared" si="55"/>
        <v>0</v>
      </c>
      <c r="AX85" s="125">
        <f t="shared" si="55"/>
        <v>0</v>
      </c>
      <c r="AY85" s="125">
        <f t="shared" si="55"/>
        <v>0</v>
      </c>
      <c r="AZ85" s="125">
        <f t="shared" si="55"/>
        <v>0</v>
      </c>
      <c r="BA85" s="125">
        <f t="shared" si="55"/>
        <v>0</v>
      </c>
      <c r="BB85" s="125">
        <f t="shared" si="55"/>
        <v>0</v>
      </c>
      <c r="BC85" s="125">
        <f t="shared" si="55"/>
        <v>0</v>
      </c>
      <c r="BD85" s="125">
        <f t="shared" si="55"/>
        <v>0</v>
      </c>
      <c r="BE85" s="125">
        <f t="shared" si="55"/>
        <v>0</v>
      </c>
      <c r="BF85" s="125">
        <f t="shared" si="55"/>
        <v>0</v>
      </c>
      <c r="BG85" s="125">
        <f t="shared" si="55"/>
        <v>0</v>
      </c>
      <c r="BH85" s="125">
        <f t="shared" si="55"/>
        <v>0</v>
      </c>
      <c r="BI85" s="125">
        <f t="shared" si="55"/>
        <v>0</v>
      </c>
      <c r="BJ85" s="125">
        <f t="shared" si="55"/>
        <v>0</v>
      </c>
      <c r="BK85" s="320">
        <f t="shared" si="55"/>
        <v>0</v>
      </c>
      <c r="BL85" s="125">
        <f t="shared" si="55"/>
        <v>0</v>
      </c>
      <c r="BM85" s="125">
        <f t="shared" si="55"/>
        <v>0</v>
      </c>
      <c r="BN85" s="125">
        <f t="shared" si="55"/>
        <v>0</v>
      </c>
      <c r="BO85" s="125">
        <f t="shared" si="55"/>
        <v>0</v>
      </c>
      <c r="BP85" s="125">
        <f t="shared" ref="BP85:CY85" si="56">BP56/((1+BP$77)^BP$6)</f>
        <v>0</v>
      </c>
      <c r="BQ85" s="125">
        <f t="shared" si="56"/>
        <v>0</v>
      </c>
      <c r="BR85" s="125">
        <f t="shared" si="56"/>
        <v>0</v>
      </c>
      <c r="BS85" s="125">
        <f t="shared" si="56"/>
        <v>0</v>
      </c>
      <c r="BT85" s="125">
        <f t="shared" si="56"/>
        <v>0</v>
      </c>
      <c r="BU85" s="125">
        <f t="shared" si="56"/>
        <v>0</v>
      </c>
      <c r="BV85" s="125">
        <f t="shared" si="56"/>
        <v>0</v>
      </c>
      <c r="BW85" s="125">
        <f t="shared" si="56"/>
        <v>0</v>
      </c>
      <c r="BX85" s="125">
        <f t="shared" si="56"/>
        <v>0</v>
      </c>
      <c r="BY85" s="125">
        <f t="shared" si="56"/>
        <v>0</v>
      </c>
      <c r="BZ85" s="125">
        <f t="shared" si="56"/>
        <v>0</v>
      </c>
      <c r="CA85" s="320">
        <f t="shared" si="56"/>
        <v>0</v>
      </c>
      <c r="CB85" s="125">
        <f t="shared" si="56"/>
        <v>0</v>
      </c>
      <c r="CC85" s="125">
        <f t="shared" si="56"/>
        <v>0</v>
      </c>
      <c r="CD85" s="125">
        <f t="shared" si="56"/>
        <v>0</v>
      </c>
      <c r="CE85" s="125">
        <f t="shared" si="56"/>
        <v>0</v>
      </c>
      <c r="CF85" s="125">
        <f t="shared" si="56"/>
        <v>0</v>
      </c>
      <c r="CG85" s="125">
        <f t="shared" si="56"/>
        <v>0</v>
      </c>
      <c r="CH85" s="125">
        <f t="shared" si="56"/>
        <v>0</v>
      </c>
      <c r="CI85" s="125">
        <f t="shared" si="56"/>
        <v>0</v>
      </c>
      <c r="CJ85" s="125">
        <f t="shared" si="56"/>
        <v>0</v>
      </c>
      <c r="CK85" s="125">
        <f t="shared" si="56"/>
        <v>0</v>
      </c>
      <c r="CL85" s="125">
        <f t="shared" si="56"/>
        <v>0</v>
      </c>
      <c r="CM85" s="125">
        <f t="shared" si="56"/>
        <v>0</v>
      </c>
      <c r="CN85" s="125">
        <f t="shared" si="56"/>
        <v>0</v>
      </c>
      <c r="CO85" s="125">
        <f t="shared" si="56"/>
        <v>0</v>
      </c>
      <c r="CP85" s="125">
        <f t="shared" si="56"/>
        <v>0</v>
      </c>
      <c r="CQ85" s="125">
        <f t="shared" si="56"/>
        <v>0</v>
      </c>
      <c r="CR85" s="125">
        <f t="shared" si="56"/>
        <v>0</v>
      </c>
      <c r="CS85" s="125">
        <f t="shared" si="56"/>
        <v>0</v>
      </c>
      <c r="CT85" s="125">
        <f t="shared" si="56"/>
        <v>0</v>
      </c>
      <c r="CU85" s="125">
        <f t="shared" si="56"/>
        <v>0</v>
      </c>
      <c r="CV85" s="125">
        <f t="shared" si="56"/>
        <v>0</v>
      </c>
      <c r="CW85" s="125">
        <f t="shared" si="56"/>
        <v>0</v>
      </c>
      <c r="CX85" s="125">
        <f t="shared" si="56"/>
        <v>0</v>
      </c>
      <c r="CY85" s="125">
        <f t="shared" si="56"/>
        <v>0</v>
      </c>
    </row>
    <row r="86" spans="1:103" ht="15" customHeight="1" x14ac:dyDescent="0.2">
      <c r="A86" s="126" t="s">
        <v>274</v>
      </c>
      <c r="B86" s="127"/>
      <c r="C86" s="282">
        <f t="shared" si="43"/>
        <v>0</v>
      </c>
      <c r="D86" s="125">
        <f t="shared" si="44"/>
        <v>0</v>
      </c>
      <c r="E86" s="125">
        <f t="shared" ref="E86:AI86" si="57">E57/((1+E$77)^E$6)</f>
        <v>0</v>
      </c>
      <c r="F86" s="125">
        <f t="shared" si="57"/>
        <v>0</v>
      </c>
      <c r="G86" s="125">
        <f t="shared" si="57"/>
        <v>0</v>
      </c>
      <c r="H86" s="125">
        <f t="shared" si="57"/>
        <v>0</v>
      </c>
      <c r="I86" s="125">
        <f t="shared" si="57"/>
        <v>0</v>
      </c>
      <c r="J86" s="125">
        <f t="shared" si="57"/>
        <v>0</v>
      </c>
      <c r="K86" s="125">
        <f t="shared" si="57"/>
        <v>0</v>
      </c>
      <c r="L86" s="125">
        <f t="shared" si="57"/>
        <v>0</v>
      </c>
      <c r="M86" s="125">
        <f t="shared" si="57"/>
        <v>0</v>
      </c>
      <c r="N86" s="125">
        <f t="shared" si="57"/>
        <v>0</v>
      </c>
      <c r="O86" s="125">
        <f t="shared" si="57"/>
        <v>0</v>
      </c>
      <c r="P86" s="125">
        <f t="shared" si="57"/>
        <v>0</v>
      </c>
      <c r="Q86" s="125">
        <f t="shared" si="57"/>
        <v>0</v>
      </c>
      <c r="R86" s="125">
        <f t="shared" si="57"/>
        <v>0</v>
      </c>
      <c r="S86" s="125">
        <f t="shared" si="57"/>
        <v>0</v>
      </c>
      <c r="T86" s="125">
        <f t="shared" si="57"/>
        <v>0</v>
      </c>
      <c r="U86" s="125">
        <f t="shared" si="57"/>
        <v>0</v>
      </c>
      <c r="V86" s="125">
        <f t="shared" si="57"/>
        <v>0</v>
      </c>
      <c r="W86" s="125">
        <f t="shared" si="57"/>
        <v>0</v>
      </c>
      <c r="X86" s="125">
        <f t="shared" si="57"/>
        <v>0</v>
      </c>
      <c r="Y86" s="125">
        <f t="shared" si="57"/>
        <v>0</v>
      </c>
      <c r="Z86" s="125">
        <f t="shared" si="57"/>
        <v>0</v>
      </c>
      <c r="AA86" s="125">
        <f t="shared" si="57"/>
        <v>0</v>
      </c>
      <c r="AB86" s="125">
        <f t="shared" si="57"/>
        <v>0</v>
      </c>
      <c r="AC86" s="125">
        <f t="shared" si="57"/>
        <v>0</v>
      </c>
      <c r="AD86" s="125">
        <f t="shared" si="57"/>
        <v>0</v>
      </c>
      <c r="AE86" s="125">
        <f t="shared" si="57"/>
        <v>0</v>
      </c>
      <c r="AF86" s="125">
        <f t="shared" si="57"/>
        <v>0</v>
      </c>
      <c r="AG86" s="125">
        <f t="shared" si="57"/>
        <v>0</v>
      </c>
      <c r="AH86" s="125">
        <f t="shared" si="57"/>
        <v>0</v>
      </c>
      <c r="AI86" s="125">
        <f t="shared" si="57"/>
        <v>0</v>
      </c>
      <c r="AJ86" s="125">
        <f t="shared" ref="AJ86:BO86" si="58">AJ57/((1+AJ$77)^AJ$6)</f>
        <v>0</v>
      </c>
      <c r="AK86" s="125">
        <f t="shared" si="58"/>
        <v>0</v>
      </c>
      <c r="AL86" s="125">
        <f t="shared" si="58"/>
        <v>0</v>
      </c>
      <c r="AM86" s="125">
        <f t="shared" si="58"/>
        <v>0</v>
      </c>
      <c r="AN86" s="125">
        <f t="shared" si="58"/>
        <v>0</v>
      </c>
      <c r="AO86" s="320">
        <f t="shared" si="58"/>
        <v>0</v>
      </c>
      <c r="AP86" s="125">
        <f t="shared" si="58"/>
        <v>0</v>
      </c>
      <c r="AQ86" s="125">
        <f t="shared" si="58"/>
        <v>0</v>
      </c>
      <c r="AR86" s="125">
        <f t="shared" si="58"/>
        <v>0</v>
      </c>
      <c r="AS86" s="125">
        <f t="shared" si="58"/>
        <v>0</v>
      </c>
      <c r="AT86" s="125">
        <f t="shared" si="58"/>
        <v>0</v>
      </c>
      <c r="AU86" s="125">
        <f t="shared" si="58"/>
        <v>0</v>
      </c>
      <c r="AV86" s="125">
        <f t="shared" si="58"/>
        <v>0</v>
      </c>
      <c r="AW86" s="125">
        <f t="shared" si="58"/>
        <v>0</v>
      </c>
      <c r="AX86" s="125">
        <f t="shared" si="58"/>
        <v>0</v>
      </c>
      <c r="AY86" s="125">
        <f t="shared" si="58"/>
        <v>0</v>
      </c>
      <c r="AZ86" s="125">
        <f t="shared" si="58"/>
        <v>0</v>
      </c>
      <c r="BA86" s="125">
        <f t="shared" si="58"/>
        <v>0</v>
      </c>
      <c r="BB86" s="125">
        <f t="shared" si="58"/>
        <v>0</v>
      </c>
      <c r="BC86" s="125">
        <f t="shared" si="58"/>
        <v>0</v>
      </c>
      <c r="BD86" s="125">
        <f t="shared" si="58"/>
        <v>0</v>
      </c>
      <c r="BE86" s="125">
        <f t="shared" si="58"/>
        <v>0</v>
      </c>
      <c r="BF86" s="125">
        <f t="shared" si="58"/>
        <v>0</v>
      </c>
      <c r="BG86" s="125">
        <f t="shared" si="58"/>
        <v>0</v>
      </c>
      <c r="BH86" s="125">
        <f t="shared" si="58"/>
        <v>0</v>
      </c>
      <c r="BI86" s="125">
        <f t="shared" si="58"/>
        <v>0</v>
      </c>
      <c r="BJ86" s="125">
        <f t="shared" si="58"/>
        <v>0</v>
      </c>
      <c r="BK86" s="320">
        <f t="shared" si="58"/>
        <v>0</v>
      </c>
      <c r="BL86" s="125">
        <f t="shared" si="58"/>
        <v>0</v>
      </c>
      <c r="BM86" s="125">
        <f t="shared" si="58"/>
        <v>0</v>
      </c>
      <c r="BN86" s="125">
        <f t="shared" si="58"/>
        <v>0</v>
      </c>
      <c r="BO86" s="125">
        <f t="shared" si="58"/>
        <v>0</v>
      </c>
      <c r="BP86" s="125">
        <f t="shared" ref="BP86:CY86" si="59">BP57/((1+BP$77)^BP$6)</f>
        <v>0</v>
      </c>
      <c r="BQ86" s="125">
        <f t="shared" si="59"/>
        <v>0</v>
      </c>
      <c r="BR86" s="125">
        <f t="shared" si="59"/>
        <v>0</v>
      </c>
      <c r="BS86" s="125">
        <f t="shared" si="59"/>
        <v>0</v>
      </c>
      <c r="BT86" s="125">
        <f t="shared" si="59"/>
        <v>0</v>
      </c>
      <c r="BU86" s="125">
        <f t="shared" si="59"/>
        <v>0</v>
      </c>
      <c r="BV86" s="125">
        <f t="shared" si="59"/>
        <v>0</v>
      </c>
      <c r="BW86" s="125">
        <f t="shared" si="59"/>
        <v>0</v>
      </c>
      <c r="BX86" s="125">
        <f t="shared" si="59"/>
        <v>0</v>
      </c>
      <c r="BY86" s="125">
        <f t="shared" si="59"/>
        <v>0</v>
      </c>
      <c r="BZ86" s="125">
        <f t="shared" si="59"/>
        <v>0</v>
      </c>
      <c r="CA86" s="320">
        <f t="shared" si="59"/>
        <v>0</v>
      </c>
      <c r="CB86" s="125">
        <f t="shared" si="59"/>
        <v>0</v>
      </c>
      <c r="CC86" s="125">
        <f t="shared" si="59"/>
        <v>0</v>
      </c>
      <c r="CD86" s="125">
        <f t="shared" si="59"/>
        <v>0</v>
      </c>
      <c r="CE86" s="125">
        <f t="shared" si="59"/>
        <v>0</v>
      </c>
      <c r="CF86" s="125">
        <f t="shared" si="59"/>
        <v>0</v>
      </c>
      <c r="CG86" s="125">
        <f t="shared" si="59"/>
        <v>0</v>
      </c>
      <c r="CH86" s="125">
        <f t="shared" si="59"/>
        <v>0</v>
      </c>
      <c r="CI86" s="125">
        <f t="shared" si="59"/>
        <v>0</v>
      </c>
      <c r="CJ86" s="125">
        <f t="shared" si="59"/>
        <v>0</v>
      </c>
      <c r="CK86" s="125">
        <f t="shared" si="59"/>
        <v>0</v>
      </c>
      <c r="CL86" s="125">
        <f t="shared" si="59"/>
        <v>0</v>
      </c>
      <c r="CM86" s="125">
        <f t="shared" si="59"/>
        <v>0</v>
      </c>
      <c r="CN86" s="125">
        <f t="shared" si="59"/>
        <v>0</v>
      </c>
      <c r="CO86" s="125">
        <f t="shared" si="59"/>
        <v>0</v>
      </c>
      <c r="CP86" s="125">
        <f t="shared" si="59"/>
        <v>0</v>
      </c>
      <c r="CQ86" s="125">
        <f t="shared" si="59"/>
        <v>0</v>
      </c>
      <c r="CR86" s="125">
        <f t="shared" si="59"/>
        <v>0</v>
      </c>
      <c r="CS86" s="125">
        <f t="shared" si="59"/>
        <v>0</v>
      </c>
      <c r="CT86" s="125">
        <f t="shared" si="59"/>
        <v>0</v>
      </c>
      <c r="CU86" s="125">
        <f t="shared" si="59"/>
        <v>0</v>
      </c>
      <c r="CV86" s="125">
        <f t="shared" si="59"/>
        <v>0</v>
      </c>
      <c r="CW86" s="125">
        <f t="shared" si="59"/>
        <v>0</v>
      </c>
      <c r="CX86" s="125">
        <f t="shared" si="59"/>
        <v>0</v>
      </c>
      <c r="CY86" s="125">
        <f t="shared" si="59"/>
        <v>0</v>
      </c>
    </row>
    <row r="87" spans="1:103" x14ac:dyDescent="0.2">
      <c r="A87" s="126" t="str">
        <f>CONCATENATE("Discounted ",B58)</f>
        <v>Discounted Name of sponsorship</v>
      </c>
      <c r="B87" s="135"/>
      <c r="C87" s="282">
        <f t="shared" si="43"/>
        <v>0</v>
      </c>
      <c r="D87" s="125">
        <f t="shared" si="44"/>
        <v>0</v>
      </c>
      <c r="E87" s="125">
        <f t="shared" ref="E87:AI87" si="60">E58/((1+E$77)^E$6)</f>
        <v>0</v>
      </c>
      <c r="F87" s="125">
        <f t="shared" si="60"/>
        <v>0</v>
      </c>
      <c r="G87" s="125">
        <f t="shared" si="60"/>
        <v>0</v>
      </c>
      <c r="H87" s="125">
        <f t="shared" si="60"/>
        <v>0</v>
      </c>
      <c r="I87" s="125">
        <f t="shared" si="60"/>
        <v>0</v>
      </c>
      <c r="J87" s="125">
        <f t="shared" si="60"/>
        <v>0</v>
      </c>
      <c r="K87" s="125">
        <f t="shared" si="60"/>
        <v>0</v>
      </c>
      <c r="L87" s="125">
        <f t="shared" si="60"/>
        <v>0</v>
      </c>
      <c r="M87" s="125">
        <f t="shared" si="60"/>
        <v>0</v>
      </c>
      <c r="N87" s="125">
        <f t="shared" si="60"/>
        <v>0</v>
      </c>
      <c r="O87" s="125">
        <f t="shared" si="60"/>
        <v>0</v>
      </c>
      <c r="P87" s="125">
        <f t="shared" si="60"/>
        <v>0</v>
      </c>
      <c r="Q87" s="125">
        <f t="shared" si="60"/>
        <v>0</v>
      </c>
      <c r="R87" s="125">
        <f t="shared" si="60"/>
        <v>0</v>
      </c>
      <c r="S87" s="125">
        <f t="shared" si="60"/>
        <v>0</v>
      </c>
      <c r="T87" s="125">
        <f t="shared" si="60"/>
        <v>0</v>
      </c>
      <c r="U87" s="125">
        <f t="shared" si="60"/>
        <v>0</v>
      </c>
      <c r="V87" s="125">
        <f t="shared" si="60"/>
        <v>0</v>
      </c>
      <c r="W87" s="125">
        <f t="shared" si="60"/>
        <v>0</v>
      </c>
      <c r="X87" s="125">
        <f t="shared" si="60"/>
        <v>0</v>
      </c>
      <c r="Y87" s="125">
        <f t="shared" si="60"/>
        <v>0</v>
      </c>
      <c r="Z87" s="125">
        <f t="shared" si="60"/>
        <v>0</v>
      </c>
      <c r="AA87" s="125">
        <f t="shared" si="60"/>
        <v>0</v>
      </c>
      <c r="AB87" s="125">
        <f t="shared" si="60"/>
        <v>0</v>
      </c>
      <c r="AC87" s="125">
        <f t="shared" si="60"/>
        <v>0</v>
      </c>
      <c r="AD87" s="125">
        <f t="shared" si="60"/>
        <v>0</v>
      </c>
      <c r="AE87" s="125">
        <f t="shared" si="60"/>
        <v>0</v>
      </c>
      <c r="AF87" s="125">
        <f t="shared" si="60"/>
        <v>0</v>
      </c>
      <c r="AG87" s="125">
        <f t="shared" si="60"/>
        <v>0</v>
      </c>
      <c r="AH87" s="125">
        <f t="shared" si="60"/>
        <v>0</v>
      </c>
      <c r="AI87" s="125">
        <f t="shared" si="60"/>
        <v>0</v>
      </c>
      <c r="AJ87" s="125">
        <f t="shared" ref="AJ87:BO87" si="61">AJ58/((1+AJ$77)^AJ$6)</f>
        <v>0</v>
      </c>
      <c r="AK87" s="125">
        <f t="shared" si="61"/>
        <v>0</v>
      </c>
      <c r="AL87" s="125">
        <f t="shared" si="61"/>
        <v>0</v>
      </c>
      <c r="AM87" s="125">
        <f t="shared" si="61"/>
        <v>0</v>
      </c>
      <c r="AN87" s="125">
        <f t="shared" si="61"/>
        <v>0</v>
      </c>
      <c r="AO87" s="320">
        <f t="shared" si="61"/>
        <v>0</v>
      </c>
      <c r="AP87" s="125">
        <f t="shared" si="61"/>
        <v>0</v>
      </c>
      <c r="AQ87" s="125">
        <f t="shared" si="61"/>
        <v>0</v>
      </c>
      <c r="AR87" s="125">
        <f t="shared" si="61"/>
        <v>0</v>
      </c>
      <c r="AS87" s="125">
        <f t="shared" si="61"/>
        <v>0</v>
      </c>
      <c r="AT87" s="125">
        <f t="shared" si="61"/>
        <v>0</v>
      </c>
      <c r="AU87" s="125">
        <f t="shared" si="61"/>
        <v>0</v>
      </c>
      <c r="AV87" s="125">
        <f t="shared" si="61"/>
        <v>0</v>
      </c>
      <c r="AW87" s="125">
        <f t="shared" si="61"/>
        <v>0</v>
      </c>
      <c r="AX87" s="125">
        <f t="shared" si="61"/>
        <v>0</v>
      </c>
      <c r="AY87" s="125">
        <f t="shared" si="61"/>
        <v>0</v>
      </c>
      <c r="AZ87" s="125">
        <f t="shared" si="61"/>
        <v>0</v>
      </c>
      <c r="BA87" s="125">
        <f t="shared" si="61"/>
        <v>0</v>
      </c>
      <c r="BB87" s="125">
        <f t="shared" si="61"/>
        <v>0</v>
      </c>
      <c r="BC87" s="125">
        <f t="shared" si="61"/>
        <v>0</v>
      </c>
      <c r="BD87" s="125">
        <f t="shared" si="61"/>
        <v>0</v>
      </c>
      <c r="BE87" s="125">
        <f t="shared" si="61"/>
        <v>0</v>
      </c>
      <c r="BF87" s="125">
        <f t="shared" si="61"/>
        <v>0</v>
      </c>
      <c r="BG87" s="125">
        <f t="shared" si="61"/>
        <v>0</v>
      </c>
      <c r="BH87" s="125">
        <f t="shared" si="61"/>
        <v>0</v>
      </c>
      <c r="BI87" s="125">
        <f t="shared" si="61"/>
        <v>0</v>
      </c>
      <c r="BJ87" s="125">
        <f t="shared" si="61"/>
        <v>0</v>
      </c>
      <c r="BK87" s="320">
        <f t="shared" si="61"/>
        <v>0</v>
      </c>
      <c r="BL87" s="125">
        <f t="shared" si="61"/>
        <v>0</v>
      </c>
      <c r="BM87" s="125">
        <f t="shared" si="61"/>
        <v>0</v>
      </c>
      <c r="BN87" s="125">
        <f t="shared" si="61"/>
        <v>0</v>
      </c>
      <c r="BO87" s="125">
        <f t="shared" si="61"/>
        <v>0</v>
      </c>
      <c r="BP87" s="125">
        <f t="shared" ref="BP87:CY87" si="62">BP58/((1+BP$77)^BP$6)</f>
        <v>0</v>
      </c>
      <c r="BQ87" s="125">
        <f t="shared" si="62"/>
        <v>0</v>
      </c>
      <c r="BR87" s="125">
        <f t="shared" si="62"/>
        <v>0</v>
      </c>
      <c r="BS87" s="125">
        <f t="shared" si="62"/>
        <v>0</v>
      </c>
      <c r="BT87" s="125">
        <f t="shared" si="62"/>
        <v>0</v>
      </c>
      <c r="BU87" s="125">
        <f t="shared" si="62"/>
        <v>0</v>
      </c>
      <c r="BV87" s="125">
        <f t="shared" si="62"/>
        <v>0</v>
      </c>
      <c r="BW87" s="125">
        <f t="shared" si="62"/>
        <v>0</v>
      </c>
      <c r="BX87" s="125">
        <f t="shared" si="62"/>
        <v>0</v>
      </c>
      <c r="BY87" s="125">
        <f t="shared" si="62"/>
        <v>0</v>
      </c>
      <c r="BZ87" s="125">
        <f t="shared" si="62"/>
        <v>0</v>
      </c>
      <c r="CA87" s="320">
        <f t="shared" si="62"/>
        <v>0</v>
      </c>
      <c r="CB87" s="125">
        <f t="shared" si="62"/>
        <v>0</v>
      </c>
      <c r="CC87" s="125">
        <f t="shared" si="62"/>
        <v>0</v>
      </c>
      <c r="CD87" s="125">
        <f t="shared" si="62"/>
        <v>0</v>
      </c>
      <c r="CE87" s="125">
        <f t="shared" si="62"/>
        <v>0</v>
      </c>
      <c r="CF87" s="125">
        <f t="shared" si="62"/>
        <v>0</v>
      </c>
      <c r="CG87" s="125">
        <f t="shared" si="62"/>
        <v>0</v>
      </c>
      <c r="CH87" s="125">
        <f t="shared" si="62"/>
        <v>0</v>
      </c>
      <c r="CI87" s="125">
        <f t="shared" si="62"/>
        <v>0</v>
      </c>
      <c r="CJ87" s="125">
        <f t="shared" si="62"/>
        <v>0</v>
      </c>
      <c r="CK87" s="125">
        <f t="shared" si="62"/>
        <v>0</v>
      </c>
      <c r="CL87" s="125">
        <f t="shared" si="62"/>
        <v>0</v>
      </c>
      <c r="CM87" s="125">
        <f t="shared" si="62"/>
        <v>0</v>
      </c>
      <c r="CN87" s="125">
        <f t="shared" si="62"/>
        <v>0</v>
      </c>
      <c r="CO87" s="125">
        <f t="shared" si="62"/>
        <v>0</v>
      </c>
      <c r="CP87" s="125">
        <f t="shared" si="62"/>
        <v>0</v>
      </c>
      <c r="CQ87" s="125">
        <f t="shared" si="62"/>
        <v>0</v>
      </c>
      <c r="CR87" s="125">
        <f t="shared" si="62"/>
        <v>0</v>
      </c>
      <c r="CS87" s="125">
        <f t="shared" si="62"/>
        <v>0</v>
      </c>
      <c r="CT87" s="125">
        <f t="shared" si="62"/>
        <v>0</v>
      </c>
      <c r="CU87" s="125">
        <f t="shared" si="62"/>
        <v>0</v>
      </c>
      <c r="CV87" s="125">
        <f t="shared" si="62"/>
        <v>0</v>
      </c>
      <c r="CW87" s="125">
        <f t="shared" si="62"/>
        <v>0</v>
      </c>
      <c r="CX87" s="125">
        <f t="shared" si="62"/>
        <v>0</v>
      </c>
      <c r="CY87" s="125">
        <f t="shared" si="62"/>
        <v>0</v>
      </c>
    </row>
    <row r="88" spans="1:103" ht="15" customHeight="1" x14ac:dyDescent="0.2">
      <c r="A88" s="126" t="str">
        <f>CONCATENATE("Discounted ",B59)</f>
        <v>Discounted Name of Income 1</v>
      </c>
      <c r="B88" s="127"/>
      <c r="C88" s="282">
        <f t="shared" si="43"/>
        <v>0</v>
      </c>
      <c r="D88" s="125">
        <f t="shared" si="44"/>
        <v>0</v>
      </c>
      <c r="E88" s="125">
        <f t="shared" ref="E88:AI88" si="63">E59/((1+E$77)^E$6)</f>
        <v>0</v>
      </c>
      <c r="F88" s="125">
        <f t="shared" si="63"/>
        <v>0</v>
      </c>
      <c r="G88" s="125">
        <f t="shared" si="63"/>
        <v>0</v>
      </c>
      <c r="H88" s="125">
        <f t="shared" si="63"/>
        <v>0</v>
      </c>
      <c r="I88" s="125">
        <f t="shared" si="63"/>
        <v>0</v>
      </c>
      <c r="J88" s="125">
        <f t="shared" si="63"/>
        <v>0</v>
      </c>
      <c r="K88" s="125">
        <f t="shared" si="63"/>
        <v>0</v>
      </c>
      <c r="L88" s="125">
        <f t="shared" si="63"/>
        <v>0</v>
      </c>
      <c r="M88" s="125">
        <f t="shared" si="63"/>
        <v>0</v>
      </c>
      <c r="N88" s="125">
        <f t="shared" si="63"/>
        <v>0</v>
      </c>
      <c r="O88" s="125">
        <f t="shared" si="63"/>
        <v>0</v>
      </c>
      <c r="P88" s="125">
        <f t="shared" si="63"/>
        <v>0</v>
      </c>
      <c r="Q88" s="125">
        <f t="shared" si="63"/>
        <v>0</v>
      </c>
      <c r="R88" s="125">
        <f t="shared" si="63"/>
        <v>0</v>
      </c>
      <c r="S88" s="125">
        <f t="shared" si="63"/>
        <v>0</v>
      </c>
      <c r="T88" s="125">
        <f t="shared" si="63"/>
        <v>0</v>
      </c>
      <c r="U88" s="125">
        <f t="shared" si="63"/>
        <v>0</v>
      </c>
      <c r="V88" s="125">
        <f t="shared" si="63"/>
        <v>0</v>
      </c>
      <c r="W88" s="125">
        <f t="shared" si="63"/>
        <v>0</v>
      </c>
      <c r="X88" s="125">
        <f t="shared" si="63"/>
        <v>0</v>
      </c>
      <c r="Y88" s="125">
        <f t="shared" si="63"/>
        <v>0</v>
      </c>
      <c r="Z88" s="125">
        <f t="shared" si="63"/>
        <v>0</v>
      </c>
      <c r="AA88" s="125">
        <f t="shared" si="63"/>
        <v>0</v>
      </c>
      <c r="AB88" s="125">
        <f t="shared" si="63"/>
        <v>0</v>
      </c>
      <c r="AC88" s="125">
        <f t="shared" si="63"/>
        <v>0</v>
      </c>
      <c r="AD88" s="125">
        <f t="shared" si="63"/>
        <v>0</v>
      </c>
      <c r="AE88" s="125">
        <f t="shared" si="63"/>
        <v>0</v>
      </c>
      <c r="AF88" s="125">
        <f t="shared" si="63"/>
        <v>0</v>
      </c>
      <c r="AG88" s="125">
        <f t="shared" si="63"/>
        <v>0</v>
      </c>
      <c r="AH88" s="125">
        <f t="shared" si="63"/>
        <v>0</v>
      </c>
      <c r="AI88" s="125">
        <f t="shared" si="63"/>
        <v>0</v>
      </c>
      <c r="AJ88" s="125">
        <f t="shared" ref="AJ88:BO88" si="64">AJ59/((1+AJ$77)^AJ$6)</f>
        <v>0</v>
      </c>
      <c r="AK88" s="125">
        <f t="shared" si="64"/>
        <v>0</v>
      </c>
      <c r="AL88" s="125">
        <f t="shared" si="64"/>
        <v>0</v>
      </c>
      <c r="AM88" s="125">
        <f t="shared" si="64"/>
        <v>0</v>
      </c>
      <c r="AN88" s="125">
        <f t="shared" si="64"/>
        <v>0</v>
      </c>
      <c r="AO88" s="320">
        <f t="shared" si="64"/>
        <v>0</v>
      </c>
      <c r="AP88" s="125">
        <f t="shared" si="64"/>
        <v>0</v>
      </c>
      <c r="AQ88" s="125">
        <f t="shared" si="64"/>
        <v>0</v>
      </c>
      <c r="AR88" s="125">
        <f t="shared" si="64"/>
        <v>0</v>
      </c>
      <c r="AS88" s="125">
        <f t="shared" si="64"/>
        <v>0</v>
      </c>
      <c r="AT88" s="125">
        <f t="shared" si="64"/>
        <v>0</v>
      </c>
      <c r="AU88" s="125">
        <f t="shared" si="64"/>
        <v>0</v>
      </c>
      <c r="AV88" s="125">
        <f t="shared" si="64"/>
        <v>0</v>
      </c>
      <c r="AW88" s="125">
        <f t="shared" si="64"/>
        <v>0</v>
      </c>
      <c r="AX88" s="125">
        <f t="shared" si="64"/>
        <v>0</v>
      </c>
      <c r="AY88" s="125">
        <f t="shared" si="64"/>
        <v>0</v>
      </c>
      <c r="AZ88" s="125">
        <f t="shared" si="64"/>
        <v>0</v>
      </c>
      <c r="BA88" s="125">
        <f t="shared" si="64"/>
        <v>0</v>
      </c>
      <c r="BB88" s="125">
        <f t="shared" si="64"/>
        <v>0</v>
      </c>
      <c r="BC88" s="125">
        <f t="shared" si="64"/>
        <v>0</v>
      </c>
      <c r="BD88" s="125">
        <f t="shared" si="64"/>
        <v>0</v>
      </c>
      <c r="BE88" s="125">
        <f t="shared" si="64"/>
        <v>0</v>
      </c>
      <c r="BF88" s="125">
        <f t="shared" si="64"/>
        <v>0</v>
      </c>
      <c r="BG88" s="125">
        <f t="shared" si="64"/>
        <v>0</v>
      </c>
      <c r="BH88" s="125">
        <f t="shared" si="64"/>
        <v>0</v>
      </c>
      <c r="BI88" s="125">
        <f t="shared" si="64"/>
        <v>0</v>
      </c>
      <c r="BJ88" s="125">
        <f t="shared" si="64"/>
        <v>0</v>
      </c>
      <c r="BK88" s="320">
        <f t="shared" si="64"/>
        <v>0</v>
      </c>
      <c r="BL88" s="125">
        <f t="shared" si="64"/>
        <v>0</v>
      </c>
      <c r="BM88" s="125">
        <f t="shared" si="64"/>
        <v>0</v>
      </c>
      <c r="BN88" s="125">
        <f t="shared" si="64"/>
        <v>0</v>
      </c>
      <c r="BO88" s="125">
        <f t="shared" si="64"/>
        <v>0</v>
      </c>
      <c r="BP88" s="125">
        <f t="shared" ref="BP88:CY88" si="65">BP59/((1+BP$77)^BP$6)</f>
        <v>0</v>
      </c>
      <c r="BQ88" s="125">
        <f t="shared" si="65"/>
        <v>0</v>
      </c>
      <c r="BR88" s="125">
        <f t="shared" si="65"/>
        <v>0</v>
      </c>
      <c r="BS88" s="125">
        <f t="shared" si="65"/>
        <v>0</v>
      </c>
      <c r="BT88" s="125">
        <f t="shared" si="65"/>
        <v>0</v>
      </c>
      <c r="BU88" s="125">
        <f t="shared" si="65"/>
        <v>0</v>
      </c>
      <c r="BV88" s="125">
        <f t="shared" si="65"/>
        <v>0</v>
      </c>
      <c r="BW88" s="125">
        <f t="shared" si="65"/>
        <v>0</v>
      </c>
      <c r="BX88" s="125">
        <f t="shared" si="65"/>
        <v>0</v>
      </c>
      <c r="BY88" s="125">
        <f t="shared" si="65"/>
        <v>0</v>
      </c>
      <c r="BZ88" s="125">
        <f t="shared" si="65"/>
        <v>0</v>
      </c>
      <c r="CA88" s="320">
        <f t="shared" si="65"/>
        <v>0</v>
      </c>
      <c r="CB88" s="125">
        <f t="shared" si="65"/>
        <v>0</v>
      </c>
      <c r="CC88" s="125">
        <f t="shared" si="65"/>
        <v>0</v>
      </c>
      <c r="CD88" s="125">
        <f t="shared" si="65"/>
        <v>0</v>
      </c>
      <c r="CE88" s="125">
        <f t="shared" si="65"/>
        <v>0</v>
      </c>
      <c r="CF88" s="125">
        <f t="shared" si="65"/>
        <v>0</v>
      </c>
      <c r="CG88" s="125">
        <f t="shared" si="65"/>
        <v>0</v>
      </c>
      <c r="CH88" s="125">
        <f t="shared" si="65"/>
        <v>0</v>
      </c>
      <c r="CI88" s="125">
        <f t="shared" si="65"/>
        <v>0</v>
      </c>
      <c r="CJ88" s="125">
        <f t="shared" si="65"/>
        <v>0</v>
      </c>
      <c r="CK88" s="125">
        <f t="shared" si="65"/>
        <v>0</v>
      </c>
      <c r="CL88" s="125">
        <f t="shared" si="65"/>
        <v>0</v>
      </c>
      <c r="CM88" s="125">
        <f t="shared" si="65"/>
        <v>0</v>
      </c>
      <c r="CN88" s="125">
        <f t="shared" si="65"/>
        <v>0</v>
      </c>
      <c r="CO88" s="125">
        <f t="shared" si="65"/>
        <v>0</v>
      </c>
      <c r="CP88" s="125">
        <f t="shared" si="65"/>
        <v>0</v>
      </c>
      <c r="CQ88" s="125">
        <f t="shared" si="65"/>
        <v>0</v>
      </c>
      <c r="CR88" s="125">
        <f t="shared" si="65"/>
        <v>0</v>
      </c>
      <c r="CS88" s="125">
        <f t="shared" si="65"/>
        <v>0</v>
      </c>
      <c r="CT88" s="125">
        <f t="shared" si="65"/>
        <v>0</v>
      </c>
      <c r="CU88" s="125">
        <f t="shared" si="65"/>
        <v>0</v>
      </c>
      <c r="CV88" s="125">
        <f t="shared" si="65"/>
        <v>0</v>
      </c>
      <c r="CW88" s="125">
        <f t="shared" si="65"/>
        <v>0</v>
      </c>
      <c r="CX88" s="125">
        <f t="shared" si="65"/>
        <v>0</v>
      </c>
      <c r="CY88" s="125">
        <f t="shared" si="65"/>
        <v>0</v>
      </c>
    </row>
    <row r="89" spans="1:103" ht="15" customHeight="1" x14ac:dyDescent="0.2">
      <c r="A89" s="126" t="str">
        <f>CONCATENATE("Discounted ",B60)</f>
        <v>Discounted Name of Income 2</v>
      </c>
      <c r="B89" s="127"/>
      <c r="C89" s="282">
        <f t="shared" si="43"/>
        <v>0</v>
      </c>
      <c r="D89" s="125">
        <f t="shared" ref="D89:AI89" si="66">D60/((1+D$77)^D$6)</f>
        <v>0</v>
      </c>
      <c r="E89" s="125">
        <f t="shared" si="66"/>
        <v>0</v>
      </c>
      <c r="F89" s="125">
        <f t="shared" si="66"/>
        <v>0</v>
      </c>
      <c r="G89" s="125">
        <f t="shared" si="66"/>
        <v>0</v>
      </c>
      <c r="H89" s="125">
        <f t="shared" si="66"/>
        <v>0</v>
      </c>
      <c r="I89" s="125">
        <f t="shared" si="66"/>
        <v>0</v>
      </c>
      <c r="J89" s="125">
        <f t="shared" si="66"/>
        <v>0</v>
      </c>
      <c r="K89" s="125">
        <f t="shared" si="66"/>
        <v>0</v>
      </c>
      <c r="L89" s="125">
        <f t="shared" si="66"/>
        <v>0</v>
      </c>
      <c r="M89" s="125">
        <f t="shared" si="66"/>
        <v>0</v>
      </c>
      <c r="N89" s="125">
        <f t="shared" si="66"/>
        <v>0</v>
      </c>
      <c r="O89" s="125">
        <f t="shared" si="66"/>
        <v>0</v>
      </c>
      <c r="P89" s="125">
        <f t="shared" si="66"/>
        <v>0</v>
      </c>
      <c r="Q89" s="125">
        <f t="shared" si="66"/>
        <v>0</v>
      </c>
      <c r="R89" s="125">
        <f t="shared" si="66"/>
        <v>0</v>
      </c>
      <c r="S89" s="125">
        <f t="shared" si="66"/>
        <v>0</v>
      </c>
      <c r="T89" s="125">
        <f t="shared" si="66"/>
        <v>0</v>
      </c>
      <c r="U89" s="125">
        <f t="shared" si="66"/>
        <v>0</v>
      </c>
      <c r="V89" s="125">
        <f t="shared" si="66"/>
        <v>0</v>
      </c>
      <c r="W89" s="125">
        <f t="shared" si="66"/>
        <v>0</v>
      </c>
      <c r="X89" s="125">
        <f t="shared" si="66"/>
        <v>0</v>
      </c>
      <c r="Y89" s="125">
        <f t="shared" si="66"/>
        <v>0</v>
      </c>
      <c r="Z89" s="125">
        <f t="shared" si="66"/>
        <v>0</v>
      </c>
      <c r="AA89" s="125">
        <f t="shared" si="66"/>
        <v>0</v>
      </c>
      <c r="AB89" s="125">
        <f t="shared" si="66"/>
        <v>0</v>
      </c>
      <c r="AC89" s="125">
        <f t="shared" si="66"/>
        <v>0</v>
      </c>
      <c r="AD89" s="125">
        <f t="shared" si="66"/>
        <v>0</v>
      </c>
      <c r="AE89" s="125">
        <f t="shared" si="66"/>
        <v>0</v>
      </c>
      <c r="AF89" s="125">
        <f t="shared" si="66"/>
        <v>0</v>
      </c>
      <c r="AG89" s="125">
        <f t="shared" si="66"/>
        <v>0</v>
      </c>
      <c r="AH89" s="125">
        <f t="shared" si="66"/>
        <v>0</v>
      </c>
      <c r="AI89" s="125">
        <f t="shared" si="66"/>
        <v>0</v>
      </c>
      <c r="AJ89" s="125">
        <f t="shared" ref="AJ89:BO89" si="67">AJ60/((1+AJ$77)^AJ$6)</f>
        <v>0</v>
      </c>
      <c r="AK89" s="125">
        <f t="shared" si="67"/>
        <v>0</v>
      </c>
      <c r="AL89" s="125">
        <f t="shared" si="67"/>
        <v>0</v>
      </c>
      <c r="AM89" s="125">
        <f t="shared" si="67"/>
        <v>0</v>
      </c>
      <c r="AN89" s="125">
        <f t="shared" si="67"/>
        <v>0</v>
      </c>
      <c r="AO89" s="320">
        <f t="shared" si="67"/>
        <v>0</v>
      </c>
      <c r="AP89" s="125">
        <f t="shared" si="67"/>
        <v>0</v>
      </c>
      <c r="AQ89" s="125">
        <f t="shared" si="67"/>
        <v>0</v>
      </c>
      <c r="AR89" s="125">
        <f t="shared" si="67"/>
        <v>0</v>
      </c>
      <c r="AS89" s="125">
        <f t="shared" si="67"/>
        <v>0</v>
      </c>
      <c r="AT89" s="125">
        <f t="shared" si="67"/>
        <v>0</v>
      </c>
      <c r="AU89" s="125">
        <f t="shared" si="67"/>
        <v>0</v>
      </c>
      <c r="AV89" s="125">
        <f t="shared" si="67"/>
        <v>0</v>
      </c>
      <c r="AW89" s="125">
        <f t="shared" si="67"/>
        <v>0</v>
      </c>
      <c r="AX89" s="125">
        <f t="shared" si="67"/>
        <v>0</v>
      </c>
      <c r="AY89" s="125">
        <f t="shared" si="67"/>
        <v>0</v>
      </c>
      <c r="AZ89" s="125">
        <f t="shared" si="67"/>
        <v>0</v>
      </c>
      <c r="BA89" s="125">
        <f t="shared" si="67"/>
        <v>0</v>
      </c>
      <c r="BB89" s="125">
        <f t="shared" si="67"/>
        <v>0</v>
      </c>
      <c r="BC89" s="125">
        <f t="shared" si="67"/>
        <v>0</v>
      </c>
      <c r="BD89" s="125">
        <f t="shared" si="67"/>
        <v>0</v>
      </c>
      <c r="BE89" s="125">
        <f t="shared" si="67"/>
        <v>0</v>
      </c>
      <c r="BF89" s="125">
        <f t="shared" si="67"/>
        <v>0</v>
      </c>
      <c r="BG89" s="125">
        <f t="shared" si="67"/>
        <v>0</v>
      </c>
      <c r="BH89" s="125">
        <f t="shared" si="67"/>
        <v>0</v>
      </c>
      <c r="BI89" s="125">
        <f t="shared" si="67"/>
        <v>0</v>
      </c>
      <c r="BJ89" s="125">
        <f t="shared" si="67"/>
        <v>0</v>
      </c>
      <c r="BK89" s="320">
        <f t="shared" si="67"/>
        <v>0</v>
      </c>
      <c r="BL89" s="125">
        <f t="shared" si="67"/>
        <v>0</v>
      </c>
      <c r="BM89" s="125">
        <f t="shared" si="67"/>
        <v>0</v>
      </c>
      <c r="BN89" s="125">
        <f t="shared" si="67"/>
        <v>0</v>
      </c>
      <c r="BO89" s="125">
        <f t="shared" si="67"/>
        <v>0</v>
      </c>
      <c r="BP89" s="125">
        <f t="shared" ref="BP89:CY89" si="68">BP60/((1+BP$77)^BP$6)</f>
        <v>0</v>
      </c>
      <c r="BQ89" s="125">
        <f t="shared" si="68"/>
        <v>0</v>
      </c>
      <c r="BR89" s="125">
        <f t="shared" si="68"/>
        <v>0</v>
      </c>
      <c r="BS89" s="125">
        <f t="shared" si="68"/>
        <v>0</v>
      </c>
      <c r="BT89" s="125">
        <f t="shared" si="68"/>
        <v>0</v>
      </c>
      <c r="BU89" s="125">
        <f t="shared" si="68"/>
        <v>0</v>
      </c>
      <c r="BV89" s="125">
        <f t="shared" si="68"/>
        <v>0</v>
      </c>
      <c r="BW89" s="125">
        <f t="shared" si="68"/>
        <v>0</v>
      </c>
      <c r="BX89" s="125">
        <f t="shared" si="68"/>
        <v>0</v>
      </c>
      <c r="BY89" s="125">
        <f t="shared" si="68"/>
        <v>0</v>
      </c>
      <c r="BZ89" s="125">
        <f t="shared" si="68"/>
        <v>0</v>
      </c>
      <c r="CA89" s="320">
        <f t="shared" si="68"/>
        <v>0</v>
      </c>
      <c r="CB89" s="125">
        <f t="shared" si="68"/>
        <v>0</v>
      </c>
      <c r="CC89" s="125">
        <f t="shared" si="68"/>
        <v>0</v>
      </c>
      <c r="CD89" s="125">
        <f t="shared" si="68"/>
        <v>0</v>
      </c>
      <c r="CE89" s="125">
        <f t="shared" si="68"/>
        <v>0</v>
      </c>
      <c r="CF89" s="125">
        <f t="shared" si="68"/>
        <v>0</v>
      </c>
      <c r="CG89" s="125">
        <f t="shared" si="68"/>
        <v>0</v>
      </c>
      <c r="CH89" s="125">
        <f t="shared" si="68"/>
        <v>0</v>
      </c>
      <c r="CI89" s="125">
        <f t="shared" si="68"/>
        <v>0</v>
      </c>
      <c r="CJ89" s="125">
        <f t="shared" si="68"/>
        <v>0</v>
      </c>
      <c r="CK89" s="125">
        <f t="shared" si="68"/>
        <v>0</v>
      </c>
      <c r="CL89" s="125">
        <f t="shared" si="68"/>
        <v>0</v>
      </c>
      <c r="CM89" s="125">
        <f t="shared" si="68"/>
        <v>0</v>
      </c>
      <c r="CN89" s="125">
        <f t="shared" si="68"/>
        <v>0</v>
      </c>
      <c r="CO89" s="125">
        <f t="shared" si="68"/>
        <v>0</v>
      </c>
      <c r="CP89" s="125">
        <f t="shared" si="68"/>
        <v>0</v>
      </c>
      <c r="CQ89" s="125">
        <f t="shared" si="68"/>
        <v>0</v>
      </c>
      <c r="CR89" s="125">
        <f t="shared" si="68"/>
        <v>0</v>
      </c>
      <c r="CS89" s="125">
        <f t="shared" si="68"/>
        <v>0</v>
      </c>
      <c r="CT89" s="125">
        <f t="shared" si="68"/>
        <v>0</v>
      </c>
      <c r="CU89" s="125">
        <f t="shared" si="68"/>
        <v>0</v>
      </c>
      <c r="CV89" s="125">
        <f t="shared" si="68"/>
        <v>0</v>
      </c>
      <c r="CW89" s="125">
        <f t="shared" si="68"/>
        <v>0</v>
      </c>
      <c r="CX89" s="125">
        <f t="shared" si="68"/>
        <v>0</v>
      </c>
      <c r="CY89" s="125">
        <f t="shared" si="68"/>
        <v>0</v>
      </c>
    </row>
    <row r="90" spans="1:103" ht="15" customHeight="1" thickBot="1" x14ac:dyDescent="0.25">
      <c r="A90" s="126" t="str">
        <f>CONCATENATE("Discounted ",B61)</f>
        <v>Discounted Name of Income 3</v>
      </c>
      <c r="B90" s="127"/>
      <c r="C90" s="283">
        <f t="shared" si="43"/>
        <v>0</v>
      </c>
      <c r="D90" s="86">
        <f t="shared" ref="D90:AI90" si="69">D61/((1+D$77)^D$6)</f>
        <v>0</v>
      </c>
      <c r="E90" s="86">
        <f t="shared" si="69"/>
        <v>0</v>
      </c>
      <c r="F90" s="86">
        <f t="shared" si="69"/>
        <v>0</v>
      </c>
      <c r="G90" s="86">
        <f t="shared" si="69"/>
        <v>0</v>
      </c>
      <c r="H90" s="86">
        <f t="shared" si="69"/>
        <v>0</v>
      </c>
      <c r="I90" s="86">
        <f t="shared" si="69"/>
        <v>0</v>
      </c>
      <c r="J90" s="86">
        <f t="shared" si="69"/>
        <v>0</v>
      </c>
      <c r="K90" s="86">
        <f t="shared" si="69"/>
        <v>0</v>
      </c>
      <c r="L90" s="86">
        <f t="shared" si="69"/>
        <v>0</v>
      </c>
      <c r="M90" s="86">
        <f t="shared" si="69"/>
        <v>0</v>
      </c>
      <c r="N90" s="86">
        <f t="shared" si="69"/>
        <v>0</v>
      </c>
      <c r="O90" s="86">
        <f t="shared" si="69"/>
        <v>0</v>
      </c>
      <c r="P90" s="86">
        <f t="shared" si="69"/>
        <v>0</v>
      </c>
      <c r="Q90" s="86">
        <f t="shared" si="69"/>
        <v>0</v>
      </c>
      <c r="R90" s="86">
        <f t="shared" si="69"/>
        <v>0</v>
      </c>
      <c r="S90" s="86">
        <f t="shared" si="69"/>
        <v>0</v>
      </c>
      <c r="T90" s="86">
        <f t="shared" si="69"/>
        <v>0</v>
      </c>
      <c r="U90" s="86">
        <f t="shared" si="69"/>
        <v>0</v>
      </c>
      <c r="V90" s="86">
        <f t="shared" si="69"/>
        <v>0</v>
      </c>
      <c r="W90" s="86">
        <f t="shared" si="69"/>
        <v>0</v>
      </c>
      <c r="X90" s="86">
        <f t="shared" si="69"/>
        <v>0</v>
      </c>
      <c r="Y90" s="86">
        <f t="shared" si="69"/>
        <v>0</v>
      </c>
      <c r="Z90" s="86">
        <f t="shared" si="69"/>
        <v>0</v>
      </c>
      <c r="AA90" s="86">
        <f t="shared" si="69"/>
        <v>0</v>
      </c>
      <c r="AB90" s="86">
        <f t="shared" si="69"/>
        <v>0</v>
      </c>
      <c r="AC90" s="86">
        <f t="shared" si="69"/>
        <v>0</v>
      </c>
      <c r="AD90" s="86">
        <f t="shared" si="69"/>
        <v>0</v>
      </c>
      <c r="AE90" s="86">
        <f t="shared" si="69"/>
        <v>0</v>
      </c>
      <c r="AF90" s="86">
        <f t="shared" si="69"/>
        <v>0</v>
      </c>
      <c r="AG90" s="86">
        <f t="shared" si="69"/>
        <v>0</v>
      </c>
      <c r="AH90" s="86">
        <f t="shared" si="69"/>
        <v>0</v>
      </c>
      <c r="AI90" s="86">
        <f t="shared" si="69"/>
        <v>0</v>
      </c>
      <c r="AJ90" s="86">
        <f t="shared" ref="AJ90:BO90" si="70">AJ61/((1+AJ$77)^AJ$6)</f>
        <v>0</v>
      </c>
      <c r="AK90" s="86">
        <f t="shared" si="70"/>
        <v>0</v>
      </c>
      <c r="AL90" s="86">
        <f t="shared" si="70"/>
        <v>0</v>
      </c>
      <c r="AM90" s="86">
        <f t="shared" si="70"/>
        <v>0</v>
      </c>
      <c r="AN90" s="86">
        <f t="shared" si="70"/>
        <v>0</v>
      </c>
      <c r="AO90" s="321">
        <f t="shared" si="70"/>
        <v>0</v>
      </c>
      <c r="AP90" s="86">
        <f t="shared" si="70"/>
        <v>0</v>
      </c>
      <c r="AQ90" s="86">
        <f t="shared" si="70"/>
        <v>0</v>
      </c>
      <c r="AR90" s="86">
        <f t="shared" si="70"/>
        <v>0</v>
      </c>
      <c r="AS90" s="86">
        <f t="shared" si="70"/>
        <v>0</v>
      </c>
      <c r="AT90" s="86">
        <f t="shared" si="70"/>
        <v>0</v>
      </c>
      <c r="AU90" s="86">
        <f t="shared" si="70"/>
        <v>0</v>
      </c>
      <c r="AV90" s="86">
        <f t="shared" si="70"/>
        <v>0</v>
      </c>
      <c r="AW90" s="86">
        <f t="shared" si="70"/>
        <v>0</v>
      </c>
      <c r="AX90" s="86">
        <f t="shared" si="70"/>
        <v>0</v>
      </c>
      <c r="AY90" s="86">
        <f t="shared" si="70"/>
        <v>0</v>
      </c>
      <c r="AZ90" s="86">
        <f t="shared" si="70"/>
        <v>0</v>
      </c>
      <c r="BA90" s="86">
        <f t="shared" si="70"/>
        <v>0</v>
      </c>
      <c r="BB90" s="86">
        <f t="shared" si="70"/>
        <v>0</v>
      </c>
      <c r="BC90" s="86">
        <f t="shared" si="70"/>
        <v>0</v>
      </c>
      <c r="BD90" s="86">
        <f t="shared" si="70"/>
        <v>0</v>
      </c>
      <c r="BE90" s="86">
        <f t="shared" si="70"/>
        <v>0</v>
      </c>
      <c r="BF90" s="86">
        <f t="shared" si="70"/>
        <v>0</v>
      </c>
      <c r="BG90" s="86">
        <f t="shared" si="70"/>
        <v>0</v>
      </c>
      <c r="BH90" s="86">
        <f t="shared" si="70"/>
        <v>0</v>
      </c>
      <c r="BI90" s="86">
        <f t="shared" si="70"/>
        <v>0</v>
      </c>
      <c r="BJ90" s="86">
        <f t="shared" si="70"/>
        <v>0</v>
      </c>
      <c r="BK90" s="321">
        <f t="shared" si="70"/>
        <v>0</v>
      </c>
      <c r="BL90" s="86">
        <f t="shared" si="70"/>
        <v>0</v>
      </c>
      <c r="BM90" s="86">
        <f t="shared" si="70"/>
        <v>0</v>
      </c>
      <c r="BN90" s="86">
        <f t="shared" si="70"/>
        <v>0</v>
      </c>
      <c r="BO90" s="86">
        <f t="shared" si="70"/>
        <v>0</v>
      </c>
      <c r="BP90" s="86">
        <f t="shared" ref="BP90:CY90" si="71">BP61/((1+BP$77)^BP$6)</f>
        <v>0</v>
      </c>
      <c r="BQ90" s="86">
        <f t="shared" si="71"/>
        <v>0</v>
      </c>
      <c r="BR90" s="86">
        <f t="shared" si="71"/>
        <v>0</v>
      </c>
      <c r="BS90" s="86">
        <f t="shared" si="71"/>
        <v>0</v>
      </c>
      <c r="BT90" s="86">
        <f t="shared" si="71"/>
        <v>0</v>
      </c>
      <c r="BU90" s="86">
        <f t="shared" si="71"/>
        <v>0</v>
      </c>
      <c r="BV90" s="86">
        <f t="shared" si="71"/>
        <v>0</v>
      </c>
      <c r="BW90" s="86">
        <f t="shared" si="71"/>
        <v>0</v>
      </c>
      <c r="BX90" s="86">
        <f t="shared" si="71"/>
        <v>0</v>
      </c>
      <c r="BY90" s="86">
        <f t="shared" si="71"/>
        <v>0</v>
      </c>
      <c r="BZ90" s="86">
        <f t="shared" si="71"/>
        <v>0</v>
      </c>
      <c r="CA90" s="321">
        <f t="shared" si="71"/>
        <v>0</v>
      </c>
      <c r="CB90" s="86">
        <f t="shared" si="71"/>
        <v>0</v>
      </c>
      <c r="CC90" s="86">
        <f t="shared" si="71"/>
        <v>0</v>
      </c>
      <c r="CD90" s="86">
        <f t="shared" si="71"/>
        <v>0</v>
      </c>
      <c r="CE90" s="86">
        <f t="shared" si="71"/>
        <v>0</v>
      </c>
      <c r="CF90" s="86">
        <f t="shared" si="71"/>
        <v>0</v>
      </c>
      <c r="CG90" s="86">
        <f t="shared" si="71"/>
        <v>0</v>
      </c>
      <c r="CH90" s="86">
        <f t="shared" si="71"/>
        <v>0</v>
      </c>
      <c r="CI90" s="86">
        <f t="shared" si="71"/>
        <v>0</v>
      </c>
      <c r="CJ90" s="86">
        <f t="shared" si="71"/>
        <v>0</v>
      </c>
      <c r="CK90" s="86">
        <f t="shared" si="71"/>
        <v>0</v>
      </c>
      <c r="CL90" s="86">
        <f t="shared" si="71"/>
        <v>0</v>
      </c>
      <c r="CM90" s="86">
        <f t="shared" si="71"/>
        <v>0</v>
      </c>
      <c r="CN90" s="86">
        <f t="shared" si="71"/>
        <v>0</v>
      </c>
      <c r="CO90" s="86">
        <f t="shared" si="71"/>
        <v>0</v>
      </c>
      <c r="CP90" s="86">
        <f t="shared" si="71"/>
        <v>0</v>
      </c>
      <c r="CQ90" s="86">
        <f t="shared" si="71"/>
        <v>0</v>
      </c>
      <c r="CR90" s="86">
        <f t="shared" si="71"/>
        <v>0</v>
      </c>
      <c r="CS90" s="86">
        <f t="shared" si="71"/>
        <v>0</v>
      </c>
      <c r="CT90" s="86">
        <f t="shared" si="71"/>
        <v>0</v>
      </c>
      <c r="CU90" s="86">
        <f t="shared" si="71"/>
        <v>0</v>
      </c>
      <c r="CV90" s="86">
        <f t="shared" si="71"/>
        <v>0</v>
      </c>
      <c r="CW90" s="86">
        <f t="shared" si="71"/>
        <v>0</v>
      </c>
      <c r="CX90" s="86">
        <f t="shared" si="71"/>
        <v>0</v>
      </c>
      <c r="CY90" s="86">
        <f t="shared" si="71"/>
        <v>0</v>
      </c>
    </row>
    <row r="91" spans="1:103" ht="15" customHeight="1" x14ac:dyDescent="0.2">
      <c r="A91" s="95" t="s">
        <v>66</v>
      </c>
      <c r="B91" s="96"/>
      <c r="C91" s="281">
        <f t="shared" ca="1" si="43"/>
        <v>0</v>
      </c>
      <c r="D91" s="97">
        <f>D70/((1+D77)^D6)</f>
        <v>0</v>
      </c>
      <c r="E91" s="97">
        <f t="shared" ref="E91:BP91" ca="1" si="72">E70/((1+E77)^E6)</f>
        <v>0</v>
      </c>
      <c r="F91" s="97">
        <f t="shared" ca="1" si="72"/>
        <v>0</v>
      </c>
      <c r="G91" s="97">
        <f t="shared" ca="1" si="72"/>
        <v>0</v>
      </c>
      <c r="H91" s="97">
        <f t="shared" ca="1" si="72"/>
        <v>0</v>
      </c>
      <c r="I91" s="97">
        <f t="shared" ca="1" si="72"/>
        <v>0</v>
      </c>
      <c r="J91" s="97">
        <f t="shared" ca="1" si="72"/>
        <v>0</v>
      </c>
      <c r="K91" s="97">
        <f t="shared" ca="1" si="72"/>
        <v>0</v>
      </c>
      <c r="L91" s="97">
        <f t="shared" ca="1" si="72"/>
        <v>0</v>
      </c>
      <c r="M91" s="97">
        <f t="shared" ca="1" si="72"/>
        <v>0</v>
      </c>
      <c r="N91" s="97">
        <f t="shared" ca="1" si="72"/>
        <v>0</v>
      </c>
      <c r="O91" s="97">
        <f t="shared" ca="1" si="72"/>
        <v>0</v>
      </c>
      <c r="P91" s="97">
        <f t="shared" ca="1" si="72"/>
        <v>0</v>
      </c>
      <c r="Q91" s="97">
        <f t="shared" ca="1" si="72"/>
        <v>0</v>
      </c>
      <c r="R91" s="97">
        <f t="shared" ca="1" si="72"/>
        <v>0</v>
      </c>
      <c r="S91" s="97">
        <f t="shared" ca="1" si="72"/>
        <v>0</v>
      </c>
      <c r="T91" s="97">
        <f t="shared" ca="1" si="72"/>
        <v>0</v>
      </c>
      <c r="U91" s="97">
        <f t="shared" ca="1" si="72"/>
        <v>0</v>
      </c>
      <c r="V91" s="97">
        <f t="shared" ca="1" si="72"/>
        <v>0</v>
      </c>
      <c r="W91" s="97">
        <f t="shared" ca="1" si="72"/>
        <v>0</v>
      </c>
      <c r="X91" s="97">
        <f t="shared" ca="1" si="72"/>
        <v>0</v>
      </c>
      <c r="Y91" s="97">
        <f t="shared" ca="1" si="72"/>
        <v>0</v>
      </c>
      <c r="Z91" s="97">
        <f t="shared" ca="1" si="72"/>
        <v>0</v>
      </c>
      <c r="AA91" s="97">
        <f t="shared" ca="1" si="72"/>
        <v>0</v>
      </c>
      <c r="AB91" s="97">
        <f t="shared" ca="1" si="72"/>
        <v>0</v>
      </c>
      <c r="AC91" s="97">
        <f t="shared" ca="1" si="72"/>
        <v>0</v>
      </c>
      <c r="AD91" s="97">
        <f t="shared" ca="1" si="72"/>
        <v>0</v>
      </c>
      <c r="AE91" s="97">
        <f t="shared" ca="1" si="72"/>
        <v>0</v>
      </c>
      <c r="AF91" s="97">
        <f t="shared" ca="1" si="72"/>
        <v>0</v>
      </c>
      <c r="AG91" s="97">
        <f t="shared" ca="1" si="72"/>
        <v>0</v>
      </c>
      <c r="AH91" s="97">
        <f t="shared" ca="1" si="72"/>
        <v>0</v>
      </c>
      <c r="AI91" s="97">
        <f t="shared" ca="1" si="72"/>
        <v>0</v>
      </c>
      <c r="AJ91" s="97">
        <f t="shared" ca="1" si="72"/>
        <v>0</v>
      </c>
      <c r="AK91" s="97">
        <f t="shared" ca="1" si="72"/>
        <v>0</v>
      </c>
      <c r="AL91" s="97">
        <f t="shared" ca="1" si="72"/>
        <v>0</v>
      </c>
      <c r="AM91" s="97">
        <f t="shared" ca="1" si="72"/>
        <v>0</v>
      </c>
      <c r="AN91" s="97">
        <f t="shared" ca="1" si="72"/>
        <v>0</v>
      </c>
      <c r="AO91" s="319">
        <f t="shared" ca="1" si="72"/>
        <v>0</v>
      </c>
      <c r="AP91" s="97">
        <f t="shared" ca="1" si="72"/>
        <v>0</v>
      </c>
      <c r="AQ91" s="97">
        <f t="shared" ca="1" si="72"/>
        <v>0</v>
      </c>
      <c r="AR91" s="97">
        <f t="shared" ca="1" si="72"/>
        <v>0</v>
      </c>
      <c r="AS91" s="97">
        <f t="shared" ca="1" si="72"/>
        <v>0</v>
      </c>
      <c r="AT91" s="97">
        <f t="shared" ca="1" si="72"/>
        <v>0</v>
      </c>
      <c r="AU91" s="97">
        <f t="shared" ca="1" si="72"/>
        <v>0</v>
      </c>
      <c r="AV91" s="97">
        <f t="shared" ca="1" si="72"/>
        <v>0</v>
      </c>
      <c r="AW91" s="97">
        <f t="shared" ca="1" si="72"/>
        <v>0</v>
      </c>
      <c r="AX91" s="97">
        <f t="shared" ca="1" si="72"/>
        <v>0</v>
      </c>
      <c r="AY91" s="97">
        <f t="shared" ca="1" si="72"/>
        <v>0</v>
      </c>
      <c r="AZ91" s="97">
        <f t="shared" ca="1" si="72"/>
        <v>0</v>
      </c>
      <c r="BA91" s="97">
        <f t="shared" ca="1" si="72"/>
        <v>0</v>
      </c>
      <c r="BB91" s="97">
        <f t="shared" ca="1" si="72"/>
        <v>0</v>
      </c>
      <c r="BC91" s="97">
        <f t="shared" ca="1" si="72"/>
        <v>0</v>
      </c>
      <c r="BD91" s="97">
        <f t="shared" ca="1" si="72"/>
        <v>0</v>
      </c>
      <c r="BE91" s="97">
        <f t="shared" ca="1" si="72"/>
        <v>0</v>
      </c>
      <c r="BF91" s="97">
        <f t="shared" ca="1" si="72"/>
        <v>0</v>
      </c>
      <c r="BG91" s="97">
        <f t="shared" ca="1" si="72"/>
        <v>0</v>
      </c>
      <c r="BH91" s="97">
        <f t="shared" ca="1" si="72"/>
        <v>0</v>
      </c>
      <c r="BI91" s="97">
        <f t="shared" ca="1" si="72"/>
        <v>0</v>
      </c>
      <c r="BJ91" s="97">
        <f t="shared" ca="1" si="72"/>
        <v>0</v>
      </c>
      <c r="BK91" s="319">
        <f t="shared" ca="1" si="72"/>
        <v>0</v>
      </c>
      <c r="BL91" s="97">
        <f t="shared" ca="1" si="72"/>
        <v>0</v>
      </c>
      <c r="BM91" s="97">
        <f t="shared" ca="1" si="72"/>
        <v>0</v>
      </c>
      <c r="BN91" s="97">
        <f t="shared" ca="1" si="72"/>
        <v>0</v>
      </c>
      <c r="BO91" s="97">
        <f t="shared" ca="1" si="72"/>
        <v>0</v>
      </c>
      <c r="BP91" s="97">
        <f t="shared" ca="1" si="72"/>
        <v>0</v>
      </c>
      <c r="BQ91" s="97">
        <f t="shared" ref="BQ91:CY91" ca="1" si="73">BQ70/((1+BQ77)^BQ6)</f>
        <v>0</v>
      </c>
      <c r="BR91" s="97">
        <f t="shared" ca="1" si="73"/>
        <v>0</v>
      </c>
      <c r="BS91" s="97">
        <f t="shared" ca="1" si="73"/>
        <v>0</v>
      </c>
      <c r="BT91" s="97">
        <f t="shared" ca="1" si="73"/>
        <v>0</v>
      </c>
      <c r="BU91" s="97">
        <f t="shared" ca="1" si="73"/>
        <v>0</v>
      </c>
      <c r="BV91" s="97">
        <f t="shared" ca="1" si="73"/>
        <v>0</v>
      </c>
      <c r="BW91" s="97">
        <f t="shared" ca="1" si="73"/>
        <v>0</v>
      </c>
      <c r="BX91" s="97">
        <f t="shared" ca="1" si="73"/>
        <v>0</v>
      </c>
      <c r="BY91" s="97">
        <f t="shared" ca="1" si="73"/>
        <v>0</v>
      </c>
      <c r="BZ91" s="97">
        <f t="shared" ca="1" si="73"/>
        <v>0</v>
      </c>
      <c r="CA91" s="319">
        <f t="shared" ca="1" si="73"/>
        <v>0</v>
      </c>
      <c r="CB91" s="97">
        <f t="shared" ca="1" si="73"/>
        <v>0</v>
      </c>
      <c r="CC91" s="97">
        <f t="shared" ca="1" si="73"/>
        <v>0</v>
      </c>
      <c r="CD91" s="97">
        <f t="shared" ca="1" si="73"/>
        <v>0</v>
      </c>
      <c r="CE91" s="97">
        <f t="shared" ca="1" si="73"/>
        <v>0</v>
      </c>
      <c r="CF91" s="97">
        <f t="shared" ca="1" si="73"/>
        <v>0</v>
      </c>
      <c r="CG91" s="97">
        <f t="shared" ca="1" si="73"/>
        <v>0</v>
      </c>
      <c r="CH91" s="97">
        <f t="shared" ca="1" si="73"/>
        <v>0</v>
      </c>
      <c r="CI91" s="97">
        <f t="shared" ca="1" si="73"/>
        <v>0</v>
      </c>
      <c r="CJ91" s="97">
        <f t="shared" ca="1" si="73"/>
        <v>0</v>
      </c>
      <c r="CK91" s="97">
        <f t="shared" ca="1" si="73"/>
        <v>0</v>
      </c>
      <c r="CL91" s="97">
        <f t="shared" ca="1" si="73"/>
        <v>0</v>
      </c>
      <c r="CM91" s="97">
        <f t="shared" ca="1" si="73"/>
        <v>0</v>
      </c>
      <c r="CN91" s="97">
        <f t="shared" ca="1" si="73"/>
        <v>0</v>
      </c>
      <c r="CO91" s="97">
        <f t="shared" ca="1" si="73"/>
        <v>0</v>
      </c>
      <c r="CP91" s="97">
        <f t="shared" ca="1" si="73"/>
        <v>0</v>
      </c>
      <c r="CQ91" s="97">
        <f t="shared" ca="1" si="73"/>
        <v>0</v>
      </c>
      <c r="CR91" s="97">
        <f t="shared" ca="1" si="73"/>
        <v>0</v>
      </c>
      <c r="CS91" s="97">
        <f t="shared" ca="1" si="73"/>
        <v>0</v>
      </c>
      <c r="CT91" s="97">
        <f t="shared" ca="1" si="73"/>
        <v>0</v>
      </c>
      <c r="CU91" s="97">
        <f t="shared" ca="1" si="73"/>
        <v>0</v>
      </c>
      <c r="CV91" s="97">
        <f t="shared" ca="1" si="73"/>
        <v>0</v>
      </c>
      <c r="CW91" s="97">
        <f t="shared" ca="1" si="73"/>
        <v>0</v>
      </c>
      <c r="CX91" s="97">
        <f t="shared" ca="1" si="73"/>
        <v>0</v>
      </c>
      <c r="CY91" s="97">
        <f t="shared" ca="1" si="73"/>
        <v>0</v>
      </c>
    </row>
    <row r="92" spans="1:103" ht="15" customHeight="1" thickBot="1" x14ac:dyDescent="0.25">
      <c r="A92" s="98" t="s">
        <v>67</v>
      </c>
      <c r="B92" s="99"/>
      <c r="C92" s="283">
        <f t="shared" ca="1" si="43"/>
        <v>0</v>
      </c>
      <c r="D92" s="86">
        <f>D71/((1+D77)^D6)</f>
        <v>0</v>
      </c>
      <c r="E92" s="86">
        <f t="shared" ref="E92:BP92" ca="1" si="74">E71/((1+E77)^E6)</f>
        <v>0</v>
      </c>
      <c r="F92" s="86">
        <f t="shared" ca="1" si="74"/>
        <v>0</v>
      </c>
      <c r="G92" s="86">
        <f t="shared" ca="1" si="74"/>
        <v>0</v>
      </c>
      <c r="H92" s="86">
        <f t="shared" ca="1" si="74"/>
        <v>0</v>
      </c>
      <c r="I92" s="86">
        <f t="shared" ca="1" si="74"/>
        <v>0</v>
      </c>
      <c r="J92" s="86">
        <f t="shared" ca="1" si="74"/>
        <v>0</v>
      </c>
      <c r="K92" s="86">
        <f t="shared" ca="1" si="74"/>
        <v>0</v>
      </c>
      <c r="L92" s="86">
        <f t="shared" ca="1" si="74"/>
        <v>0</v>
      </c>
      <c r="M92" s="86">
        <f t="shared" ca="1" si="74"/>
        <v>0</v>
      </c>
      <c r="N92" s="86">
        <f t="shared" ca="1" si="74"/>
        <v>0</v>
      </c>
      <c r="O92" s="86">
        <f t="shared" ca="1" si="74"/>
        <v>0</v>
      </c>
      <c r="P92" s="86">
        <f t="shared" ca="1" si="74"/>
        <v>0</v>
      </c>
      <c r="Q92" s="86">
        <f t="shared" ca="1" si="74"/>
        <v>0</v>
      </c>
      <c r="R92" s="86">
        <f t="shared" ca="1" si="74"/>
        <v>0</v>
      </c>
      <c r="S92" s="86">
        <f t="shared" ca="1" si="74"/>
        <v>0</v>
      </c>
      <c r="T92" s="86">
        <f t="shared" ca="1" si="74"/>
        <v>0</v>
      </c>
      <c r="U92" s="86">
        <f t="shared" ca="1" si="74"/>
        <v>0</v>
      </c>
      <c r="V92" s="86">
        <f t="shared" ca="1" si="74"/>
        <v>0</v>
      </c>
      <c r="W92" s="86">
        <f t="shared" ca="1" si="74"/>
        <v>0</v>
      </c>
      <c r="X92" s="86">
        <f t="shared" ca="1" si="74"/>
        <v>0</v>
      </c>
      <c r="Y92" s="86">
        <f t="shared" ca="1" si="74"/>
        <v>0</v>
      </c>
      <c r="Z92" s="86">
        <f t="shared" ca="1" si="74"/>
        <v>0</v>
      </c>
      <c r="AA92" s="86">
        <f t="shared" ca="1" si="74"/>
        <v>0</v>
      </c>
      <c r="AB92" s="86">
        <f t="shared" ca="1" si="74"/>
        <v>0</v>
      </c>
      <c r="AC92" s="86">
        <f t="shared" ca="1" si="74"/>
        <v>0</v>
      </c>
      <c r="AD92" s="86">
        <f t="shared" ca="1" si="74"/>
        <v>0</v>
      </c>
      <c r="AE92" s="86">
        <f t="shared" ca="1" si="74"/>
        <v>0</v>
      </c>
      <c r="AF92" s="86">
        <f t="shared" ca="1" si="74"/>
        <v>0</v>
      </c>
      <c r="AG92" s="86">
        <f t="shared" ca="1" si="74"/>
        <v>0</v>
      </c>
      <c r="AH92" s="86">
        <f t="shared" ca="1" si="74"/>
        <v>0</v>
      </c>
      <c r="AI92" s="86">
        <f t="shared" ca="1" si="74"/>
        <v>0</v>
      </c>
      <c r="AJ92" s="86">
        <f t="shared" ca="1" si="74"/>
        <v>0</v>
      </c>
      <c r="AK92" s="86">
        <f t="shared" ca="1" si="74"/>
        <v>0</v>
      </c>
      <c r="AL92" s="86">
        <f t="shared" ca="1" si="74"/>
        <v>0</v>
      </c>
      <c r="AM92" s="86">
        <f t="shared" ca="1" si="74"/>
        <v>0</v>
      </c>
      <c r="AN92" s="86">
        <f t="shared" ca="1" si="74"/>
        <v>0</v>
      </c>
      <c r="AO92" s="321">
        <f t="shared" ca="1" si="74"/>
        <v>0</v>
      </c>
      <c r="AP92" s="86">
        <f t="shared" ca="1" si="74"/>
        <v>0</v>
      </c>
      <c r="AQ92" s="86">
        <f t="shared" ca="1" si="74"/>
        <v>0</v>
      </c>
      <c r="AR92" s="86">
        <f t="shared" ca="1" si="74"/>
        <v>0</v>
      </c>
      <c r="AS92" s="86">
        <f t="shared" ca="1" si="74"/>
        <v>0</v>
      </c>
      <c r="AT92" s="86">
        <f t="shared" ca="1" si="74"/>
        <v>0</v>
      </c>
      <c r="AU92" s="86">
        <f t="shared" ca="1" si="74"/>
        <v>0</v>
      </c>
      <c r="AV92" s="86">
        <f t="shared" ca="1" si="74"/>
        <v>0</v>
      </c>
      <c r="AW92" s="86">
        <f t="shared" ca="1" si="74"/>
        <v>0</v>
      </c>
      <c r="AX92" s="86">
        <f t="shared" ca="1" si="74"/>
        <v>0</v>
      </c>
      <c r="AY92" s="86">
        <f t="shared" ca="1" si="74"/>
        <v>0</v>
      </c>
      <c r="AZ92" s="86">
        <f t="shared" ca="1" si="74"/>
        <v>0</v>
      </c>
      <c r="BA92" s="86">
        <f t="shared" ca="1" si="74"/>
        <v>0</v>
      </c>
      <c r="BB92" s="86">
        <f t="shared" ca="1" si="74"/>
        <v>0</v>
      </c>
      <c r="BC92" s="86">
        <f t="shared" ca="1" si="74"/>
        <v>0</v>
      </c>
      <c r="BD92" s="86">
        <f t="shared" ca="1" si="74"/>
        <v>0</v>
      </c>
      <c r="BE92" s="86">
        <f t="shared" ca="1" si="74"/>
        <v>0</v>
      </c>
      <c r="BF92" s="86">
        <f t="shared" ca="1" si="74"/>
        <v>0</v>
      </c>
      <c r="BG92" s="86">
        <f t="shared" ca="1" si="74"/>
        <v>0</v>
      </c>
      <c r="BH92" s="86">
        <f t="shared" ca="1" si="74"/>
        <v>0</v>
      </c>
      <c r="BI92" s="86">
        <f t="shared" ca="1" si="74"/>
        <v>0</v>
      </c>
      <c r="BJ92" s="86">
        <f t="shared" ca="1" si="74"/>
        <v>0</v>
      </c>
      <c r="BK92" s="321">
        <f t="shared" ca="1" si="74"/>
        <v>0</v>
      </c>
      <c r="BL92" s="86">
        <f t="shared" ca="1" si="74"/>
        <v>0</v>
      </c>
      <c r="BM92" s="86">
        <f t="shared" ca="1" si="74"/>
        <v>0</v>
      </c>
      <c r="BN92" s="86">
        <f t="shared" ca="1" si="74"/>
        <v>0</v>
      </c>
      <c r="BO92" s="86">
        <f t="shared" ca="1" si="74"/>
        <v>0</v>
      </c>
      <c r="BP92" s="86">
        <f t="shared" ca="1" si="74"/>
        <v>0</v>
      </c>
      <c r="BQ92" s="86">
        <f t="shared" ref="BQ92:CY92" ca="1" si="75">BQ71/((1+BQ77)^BQ6)</f>
        <v>0</v>
      </c>
      <c r="BR92" s="86">
        <f t="shared" ca="1" si="75"/>
        <v>0</v>
      </c>
      <c r="BS92" s="86">
        <f t="shared" ca="1" si="75"/>
        <v>0</v>
      </c>
      <c r="BT92" s="86">
        <f t="shared" ca="1" si="75"/>
        <v>0</v>
      </c>
      <c r="BU92" s="86">
        <f t="shared" ca="1" si="75"/>
        <v>0</v>
      </c>
      <c r="BV92" s="86">
        <f t="shared" ca="1" si="75"/>
        <v>0</v>
      </c>
      <c r="BW92" s="86">
        <f t="shared" ca="1" si="75"/>
        <v>0</v>
      </c>
      <c r="BX92" s="86">
        <f t="shared" ca="1" si="75"/>
        <v>0</v>
      </c>
      <c r="BY92" s="86">
        <f t="shared" ca="1" si="75"/>
        <v>0</v>
      </c>
      <c r="BZ92" s="86">
        <f t="shared" ca="1" si="75"/>
        <v>0</v>
      </c>
      <c r="CA92" s="321">
        <f t="shared" ca="1" si="75"/>
        <v>0</v>
      </c>
      <c r="CB92" s="86">
        <f t="shared" ca="1" si="75"/>
        <v>0</v>
      </c>
      <c r="CC92" s="86">
        <f t="shared" ca="1" si="75"/>
        <v>0</v>
      </c>
      <c r="CD92" s="86">
        <f t="shared" ca="1" si="75"/>
        <v>0</v>
      </c>
      <c r="CE92" s="86">
        <f t="shared" ca="1" si="75"/>
        <v>0</v>
      </c>
      <c r="CF92" s="86">
        <f t="shared" ca="1" si="75"/>
        <v>0</v>
      </c>
      <c r="CG92" s="86">
        <f t="shared" ca="1" si="75"/>
        <v>0</v>
      </c>
      <c r="CH92" s="86">
        <f t="shared" ca="1" si="75"/>
        <v>0</v>
      </c>
      <c r="CI92" s="86">
        <f t="shared" ca="1" si="75"/>
        <v>0</v>
      </c>
      <c r="CJ92" s="86">
        <f t="shared" ca="1" si="75"/>
        <v>0</v>
      </c>
      <c r="CK92" s="86">
        <f t="shared" ca="1" si="75"/>
        <v>0</v>
      </c>
      <c r="CL92" s="86">
        <f t="shared" ca="1" si="75"/>
        <v>0</v>
      </c>
      <c r="CM92" s="86">
        <f t="shared" ca="1" si="75"/>
        <v>0</v>
      </c>
      <c r="CN92" s="86">
        <f t="shared" ca="1" si="75"/>
        <v>0</v>
      </c>
      <c r="CO92" s="86">
        <f t="shared" ca="1" si="75"/>
        <v>0</v>
      </c>
      <c r="CP92" s="86">
        <f t="shared" ca="1" si="75"/>
        <v>0</v>
      </c>
      <c r="CQ92" s="86">
        <f t="shared" ca="1" si="75"/>
        <v>0</v>
      </c>
      <c r="CR92" s="86">
        <f t="shared" ca="1" si="75"/>
        <v>0</v>
      </c>
      <c r="CS92" s="86">
        <f t="shared" ca="1" si="75"/>
        <v>0</v>
      </c>
      <c r="CT92" s="86">
        <f t="shared" ca="1" si="75"/>
        <v>0</v>
      </c>
      <c r="CU92" s="86">
        <f t="shared" ca="1" si="75"/>
        <v>0</v>
      </c>
      <c r="CV92" s="86">
        <f t="shared" ca="1" si="75"/>
        <v>0</v>
      </c>
      <c r="CW92" s="86">
        <f t="shared" ca="1" si="75"/>
        <v>0</v>
      </c>
      <c r="CX92" s="86">
        <f t="shared" ca="1" si="75"/>
        <v>0</v>
      </c>
      <c r="CY92" s="86">
        <f t="shared" ca="1" si="75"/>
        <v>0</v>
      </c>
    </row>
    <row r="93" spans="1:103" ht="15" customHeight="1" thickBot="1" x14ac:dyDescent="0.25">
      <c r="A93" s="30"/>
      <c r="D93" s="5"/>
      <c r="E93" s="5"/>
      <c r="F93" s="5"/>
      <c r="G93" s="5"/>
      <c r="H93" s="5"/>
      <c r="I93" s="5"/>
      <c r="J93" s="5"/>
      <c r="K93" s="5"/>
      <c r="L93" s="5"/>
      <c r="M93" s="5"/>
      <c r="N93" s="5"/>
      <c r="O93" s="5"/>
      <c r="P93" s="5"/>
      <c r="Q93" s="5"/>
      <c r="R93" s="5"/>
      <c r="S93" s="5"/>
      <c r="T93" s="5"/>
      <c r="U93" s="5"/>
      <c r="V93" s="5"/>
      <c r="W93" s="5"/>
      <c r="X93" s="5"/>
      <c r="Y93" s="5"/>
      <c r="Z93" s="5"/>
      <c r="AA93" s="5"/>
      <c r="AB93" s="5"/>
      <c r="AC93" s="5"/>
      <c r="AD93" s="5"/>
      <c r="AE93" s="5"/>
      <c r="AF93" s="5"/>
      <c r="AG93" s="5"/>
      <c r="AH93" s="5"/>
      <c r="AI93" s="5"/>
      <c r="AJ93" s="5"/>
      <c r="AK93" s="5"/>
      <c r="AL93" s="5"/>
      <c r="AM93" s="5"/>
      <c r="AN93" s="5"/>
      <c r="AO93" s="147"/>
      <c r="AP93" s="45"/>
      <c r="AQ93" s="5"/>
      <c r="AR93" s="5"/>
      <c r="AS93" s="5"/>
      <c r="AT93" s="5"/>
      <c r="AU93" s="5"/>
      <c r="AV93" s="5"/>
      <c r="AW93" s="5"/>
      <c r="AX93" s="5"/>
      <c r="AY93" s="5"/>
      <c r="AZ93" s="5"/>
      <c r="BA93" s="5"/>
      <c r="BB93" s="5"/>
      <c r="BC93" s="5"/>
      <c r="BD93" s="5"/>
      <c r="BE93" s="5"/>
      <c r="BF93" s="5"/>
      <c r="BG93" s="5"/>
      <c r="BH93" s="5"/>
      <c r="BI93" s="5"/>
      <c r="BJ93" s="5"/>
      <c r="BK93" s="147"/>
      <c r="BL93" s="45"/>
      <c r="BM93" s="5"/>
      <c r="BN93" s="5"/>
      <c r="BO93" s="5"/>
      <c r="BP93" s="5"/>
      <c r="BQ93" s="5"/>
      <c r="BR93" s="5"/>
      <c r="BS93" s="5"/>
      <c r="BT93" s="5"/>
      <c r="BU93" s="5"/>
      <c r="BV93" s="5"/>
      <c r="BW93" s="5"/>
      <c r="BX93" s="5"/>
      <c r="BY93" s="5"/>
      <c r="BZ93" s="5"/>
      <c r="CA93" s="147"/>
      <c r="CB93" s="45"/>
      <c r="CC93" s="5"/>
      <c r="CD93" s="5"/>
      <c r="CE93" s="5"/>
      <c r="CF93" s="5"/>
      <c r="CG93" s="5"/>
      <c r="CH93" s="5"/>
      <c r="CI93" s="5"/>
      <c r="CJ93" s="5"/>
      <c r="CK93" s="5"/>
      <c r="CL93" s="5"/>
      <c r="CM93" s="5"/>
      <c r="CN93" s="5"/>
      <c r="CO93" s="5"/>
      <c r="CP93" s="5"/>
      <c r="CQ93" s="5"/>
      <c r="CR93" s="5"/>
      <c r="CS93" s="5"/>
      <c r="CT93" s="5"/>
      <c r="CU93" s="5"/>
      <c r="CV93" s="5"/>
      <c r="CW93" s="5"/>
      <c r="CX93" s="5"/>
      <c r="CY93" s="5"/>
    </row>
    <row r="94" spans="1:103" ht="15" customHeight="1" x14ac:dyDescent="0.2">
      <c r="A94" s="104" t="s">
        <v>68</v>
      </c>
      <c r="B94" s="105"/>
      <c r="C94" s="284" t="e">
        <f ca="1">SUM(D94:CY94)</f>
        <v>#REF!</v>
      </c>
      <c r="D94" s="106" t="e">
        <f ca="1">D91-D79</f>
        <v>#REF!</v>
      </c>
      <c r="E94" s="106">
        <f t="shared" ref="E94:AI94" ca="1" si="76">E91-E79</f>
        <v>0</v>
      </c>
      <c r="F94" s="106">
        <f t="shared" ca="1" si="76"/>
        <v>0</v>
      </c>
      <c r="G94" s="106">
        <f t="shared" ca="1" si="76"/>
        <v>0</v>
      </c>
      <c r="H94" s="106">
        <f t="shared" ca="1" si="76"/>
        <v>0</v>
      </c>
      <c r="I94" s="106">
        <f t="shared" ca="1" si="76"/>
        <v>0</v>
      </c>
      <c r="J94" s="106">
        <f t="shared" ca="1" si="76"/>
        <v>0</v>
      </c>
      <c r="K94" s="106">
        <f t="shared" ca="1" si="76"/>
        <v>0</v>
      </c>
      <c r="L94" s="106">
        <f t="shared" ca="1" si="76"/>
        <v>0</v>
      </c>
      <c r="M94" s="106">
        <f t="shared" ca="1" si="76"/>
        <v>0</v>
      </c>
      <c r="N94" s="106">
        <f t="shared" ca="1" si="76"/>
        <v>0</v>
      </c>
      <c r="O94" s="106">
        <f t="shared" ca="1" si="76"/>
        <v>0</v>
      </c>
      <c r="P94" s="106">
        <f t="shared" ca="1" si="76"/>
        <v>0</v>
      </c>
      <c r="Q94" s="106">
        <f t="shared" ca="1" si="76"/>
        <v>0</v>
      </c>
      <c r="R94" s="106">
        <f t="shared" ca="1" si="76"/>
        <v>0</v>
      </c>
      <c r="S94" s="106">
        <f t="shared" ca="1" si="76"/>
        <v>0</v>
      </c>
      <c r="T94" s="106">
        <f t="shared" ca="1" si="76"/>
        <v>0</v>
      </c>
      <c r="U94" s="106">
        <f t="shared" ca="1" si="76"/>
        <v>0</v>
      </c>
      <c r="V94" s="106">
        <f t="shared" ca="1" si="76"/>
        <v>0</v>
      </c>
      <c r="W94" s="106">
        <f t="shared" ca="1" si="76"/>
        <v>0</v>
      </c>
      <c r="X94" s="106">
        <f t="shared" ca="1" si="76"/>
        <v>0</v>
      </c>
      <c r="Y94" s="106">
        <f t="shared" ca="1" si="76"/>
        <v>0</v>
      </c>
      <c r="Z94" s="106">
        <f t="shared" ca="1" si="76"/>
        <v>0</v>
      </c>
      <c r="AA94" s="106">
        <f t="shared" ca="1" si="76"/>
        <v>0</v>
      </c>
      <c r="AB94" s="106">
        <f t="shared" ca="1" si="76"/>
        <v>0</v>
      </c>
      <c r="AC94" s="106">
        <f t="shared" ca="1" si="76"/>
        <v>0</v>
      </c>
      <c r="AD94" s="106">
        <f t="shared" ca="1" si="76"/>
        <v>0</v>
      </c>
      <c r="AE94" s="106">
        <f t="shared" ca="1" si="76"/>
        <v>0</v>
      </c>
      <c r="AF94" s="106">
        <f t="shared" ca="1" si="76"/>
        <v>0</v>
      </c>
      <c r="AG94" s="106">
        <f t="shared" ca="1" si="76"/>
        <v>0</v>
      </c>
      <c r="AH94" s="106">
        <f t="shared" ca="1" si="76"/>
        <v>0</v>
      </c>
      <c r="AI94" s="106">
        <f t="shared" ca="1" si="76"/>
        <v>0</v>
      </c>
      <c r="AJ94" s="106">
        <f t="shared" ref="AJ94:BO94" ca="1" si="77">AJ91-AJ79</f>
        <v>0</v>
      </c>
      <c r="AK94" s="106">
        <f t="shared" ca="1" si="77"/>
        <v>0</v>
      </c>
      <c r="AL94" s="106">
        <f t="shared" ca="1" si="77"/>
        <v>0</v>
      </c>
      <c r="AM94" s="106">
        <f t="shared" ca="1" si="77"/>
        <v>0</v>
      </c>
      <c r="AN94" s="106">
        <f t="shared" ca="1" si="77"/>
        <v>0</v>
      </c>
      <c r="AO94" s="156">
        <f t="shared" ca="1" si="77"/>
        <v>0</v>
      </c>
      <c r="AP94" s="106">
        <f t="shared" ca="1" si="77"/>
        <v>0</v>
      </c>
      <c r="AQ94" s="106">
        <f t="shared" ca="1" si="77"/>
        <v>0</v>
      </c>
      <c r="AR94" s="106">
        <f t="shared" ca="1" si="77"/>
        <v>0</v>
      </c>
      <c r="AS94" s="106">
        <f t="shared" ca="1" si="77"/>
        <v>0</v>
      </c>
      <c r="AT94" s="106">
        <f t="shared" ca="1" si="77"/>
        <v>0</v>
      </c>
      <c r="AU94" s="106">
        <f t="shared" ca="1" si="77"/>
        <v>0</v>
      </c>
      <c r="AV94" s="106">
        <f t="shared" ca="1" si="77"/>
        <v>0</v>
      </c>
      <c r="AW94" s="106">
        <f t="shared" ca="1" si="77"/>
        <v>0</v>
      </c>
      <c r="AX94" s="106">
        <f t="shared" ca="1" si="77"/>
        <v>0</v>
      </c>
      <c r="AY94" s="106">
        <f t="shared" ca="1" si="77"/>
        <v>0</v>
      </c>
      <c r="AZ94" s="106">
        <f t="shared" ca="1" si="77"/>
        <v>0</v>
      </c>
      <c r="BA94" s="106">
        <f t="shared" ca="1" si="77"/>
        <v>0</v>
      </c>
      <c r="BB94" s="106">
        <f t="shared" ca="1" si="77"/>
        <v>0</v>
      </c>
      <c r="BC94" s="106">
        <f t="shared" ca="1" si="77"/>
        <v>0</v>
      </c>
      <c r="BD94" s="106">
        <f t="shared" ca="1" si="77"/>
        <v>0</v>
      </c>
      <c r="BE94" s="106">
        <f t="shared" ca="1" si="77"/>
        <v>0</v>
      </c>
      <c r="BF94" s="106">
        <f t="shared" ca="1" si="77"/>
        <v>0</v>
      </c>
      <c r="BG94" s="106">
        <f t="shared" ca="1" si="77"/>
        <v>0</v>
      </c>
      <c r="BH94" s="106">
        <f t="shared" ca="1" si="77"/>
        <v>0</v>
      </c>
      <c r="BI94" s="106">
        <f t="shared" ca="1" si="77"/>
        <v>0</v>
      </c>
      <c r="BJ94" s="106">
        <f t="shared" ca="1" si="77"/>
        <v>0</v>
      </c>
      <c r="BK94" s="156">
        <f t="shared" ca="1" si="77"/>
        <v>0</v>
      </c>
      <c r="BL94" s="106">
        <f t="shared" ca="1" si="77"/>
        <v>0</v>
      </c>
      <c r="BM94" s="106">
        <f t="shared" ca="1" si="77"/>
        <v>0</v>
      </c>
      <c r="BN94" s="106">
        <f t="shared" ca="1" si="77"/>
        <v>0</v>
      </c>
      <c r="BO94" s="106">
        <f t="shared" ca="1" si="77"/>
        <v>0</v>
      </c>
      <c r="BP94" s="106">
        <f t="shared" ref="BP94:CY94" ca="1" si="78">BP91-BP79</f>
        <v>0</v>
      </c>
      <c r="BQ94" s="106">
        <f t="shared" ca="1" si="78"/>
        <v>0</v>
      </c>
      <c r="BR94" s="106">
        <f t="shared" ca="1" si="78"/>
        <v>0</v>
      </c>
      <c r="BS94" s="106">
        <f t="shared" ca="1" si="78"/>
        <v>0</v>
      </c>
      <c r="BT94" s="106">
        <f t="shared" ca="1" si="78"/>
        <v>0</v>
      </c>
      <c r="BU94" s="106">
        <f t="shared" ca="1" si="78"/>
        <v>0</v>
      </c>
      <c r="BV94" s="106">
        <f t="shared" ca="1" si="78"/>
        <v>0</v>
      </c>
      <c r="BW94" s="106">
        <f t="shared" ca="1" si="78"/>
        <v>0</v>
      </c>
      <c r="BX94" s="106">
        <f t="shared" ca="1" si="78"/>
        <v>0</v>
      </c>
      <c r="BY94" s="106">
        <f t="shared" ca="1" si="78"/>
        <v>0</v>
      </c>
      <c r="BZ94" s="106">
        <f t="shared" ca="1" si="78"/>
        <v>0</v>
      </c>
      <c r="CA94" s="156">
        <f t="shared" ca="1" si="78"/>
        <v>0</v>
      </c>
      <c r="CB94" s="106">
        <f t="shared" ca="1" si="78"/>
        <v>0</v>
      </c>
      <c r="CC94" s="106">
        <f t="shared" ca="1" si="78"/>
        <v>0</v>
      </c>
      <c r="CD94" s="106">
        <f t="shared" ca="1" si="78"/>
        <v>0</v>
      </c>
      <c r="CE94" s="106">
        <f t="shared" ca="1" si="78"/>
        <v>0</v>
      </c>
      <c r="CF94" s="106">
        <f t="shared" ca="1" si="78"/>
        <v>0</v>
      </c>
      <c r="CG94" s="106">
        <f t="shared" ca="1" si="78"/>
        <v>0</v>
      </c>
      <c r="CH94" s="106">
        <f t="shared" ca="1" si="78"/>
        <v>0</v>
      </c>
      <c r="CI94" s="106">
        <f t="shared" ca="1" si="78"/>
        <v>0</v>
      </c>
      <c r="CJ94" s="106">
        <f t="shared" ca="1" si="78"/>
        <v>0</v>
      </c>
      <c r="CK94" s="106">
        <f t="shared" ca="1" si="78"/>
        <v>0</v>
      </c>
      <c r="CL94" s="106">
        <f t="shared" ca="1" si="78"/>
        <v>0</v>
      </c>
      <c r="CM94" s="106">
        <f t="shared" ca="1" si="78"/>
        <v>0</v>
      </c>
      <c r="CN94" s="106">
        <f t="shared" ca="1" si="78"/>
        <v>0</v>
      </c>
      <c r="CO94" s="106">
        <f t="shared" ca="1" si="78"/>
        <v>0</v>
      </c>
      <c r="CP94" s="106">
        <f t="shared" ca="1" si="78"/>
        <v>0</v>
      </c>
      <c r="CQ94" s="106">
        <f t="shared" ca="1" si="78"/>
        <v>0</v>
      </c>
      <c r="CR94" s="106">
        <f t="shared" ca="1" si="78"/>
        <v>0</v>
      </c>
      <c r="CS94" s="106">
        <f t="shared" ca="1" si="78"/>
        <v>0</v>
      </c>
      <c r="CT94" s="106">
        <f t="shared" ca="1" si="78"/>
        <v>0</v>
      </c>
      <c r="CU94" s="106">
        <f t="shared" ca="1" si="78"/>
        <v>0</v>
      </c>
      <c r="CV94" s="106">
        <f t="shared" ca="1" si="78"/>
        <v>0</v>
      </c>
      <c r="CW94" s="106">
        <f t="shared" ca="1" si="78"/>
        <v>0</v>
      </c>
      <c r="CX94" s="106">
        <f t="shared" ca="1" si="78"/>
        <v>0</v>
      </c>
      <c r="CY94" s="106">
        <f t="shared" ca="1" si="78"/>
        <v>0</v>
      </c>
    </row>
    <row r="95" spans="1:103" ht="15" customHeight="1" thickBot="1" x14ac:dyDescent="0.25">
      <c r="A95" s="107" t="s">
        <v>69</v>
      </c>
      <c r="B95" s="108"/>
      <c r="C95" s="285" t="e">
        <f ca="1">SUM(D95:CY95)</f>
        <v>#REF!</v>
      </c>
      <c r="D95" s="109" t="e">
        <f ca="1">D92-D80</f>
        <v>#REF!</v>
      </c>
      <c r="E95" s="109">
        <f t="shared" ref="E95:AI95" ca="1" si="79">E92-E80</f>
        <v>0</v>
      </c>
      <c r="F95" s="109">
        <f t="shared" ca="1" si="79"/>
        <v>0</v>
      </c>
      <c r="G95" s="109">
        <f t="shared" ca="1" si="79"/>
        <v>0</v>
      </c>
      <c r="H95" s="109">
        <f t="shared" ca="1" si="79"/>
        <v>0</v>
      </c>
      <c r="I95" s="109">
        <f t="shared" ca="1" si="79"/>
        <v>0</v>
      </c>
      <c r="J95" s="109">
        <f t="shared" ca="1" si="79"/>
        <v>0</v>
      </c>
      <c r="K95" s="109">
        <f t="shared" ca="1" si="79"/>
        <v>0</v>
      </c>
      <c r="L95" s="109">
        <f t="shared" ca="1" si="79"/>
        <v>0</v>
      </c>
      <c r="M95" s="109">
        <f t="shared" ca="1" si="79"/>
        <v>0</v>
      </c>
      <c r="N95" s="109">
        <f t="shared" ca="1" si="79"/>
        <v>0</v>
      </c>
      <c r="O95" s="109">
        <f t="shared" ca="1" si="79"/>
        <v>0</v>
      </c>
      <c r="P95" s="109">
        <f t="shared" ca="1" si="79"/>
        <v>0</v>
      </c>
      <c r="Q95" s="109">
        <f t="shared" ca="1" si="79"/>
        <v>0</v>
      </c>
      <c r="R95" s="109">
        <f t="shared" ca="1" si="79"/>
        <v>0</v>
      </c>
      <c r="S95" s="109">
        <f t="shared" ca="1" si="79"/>
        <v>0</v>
      </c>
      <c r="T95" s="109">
        <f t="shared" ca="1" si="79"/>
        <v>0</v>
      </c>
      <c r="U95" s="109">
        <f t="shared" ca="1" si="79"/>
        <v>0</v>
      </c>
      <c r="V95" s="109">
        <f t="shared" ca="1" si="79"/>
        <v>0</v>
      </c>
      <c r="W95" s="109">
        <f t="shared" ca="1" si="79"/>
        <v>0</v>
      </c>
      <c r="X95" s="109">
        <f t="shared" ca="1" si="79"/>
        <v>0</v>
      </c>
      <c r="Y95" s="109">
        <f t="shared" ca="1" si="79"/>
        <v>0</v>
      </c>
      <c r="Z95" s="109">
        <f t="shared" ca="1" si="79"/>
        <v>0</v>
      </c>
      <c r="AA95" s="109">
        <f t="shared" ca="1" si="79"/>
        <v>0</v>
      </c>
      <c r="AB95" s="109">
        <f t="shared" ca="1" si="79"/>
        <v>0</v>
      </c>
      <c r="AC95" s="109">
        <f t="shared" ca="1" si="79"/>
        <v>0</v>
      </c>
      <c r="AD95" s="109">
        <f t="shared" ca="1" si="79"/>
        <v>0</v>
      </c>
      <c r="AE95" s="109">
        <f t="shared" ca="1" si="79"/>
        <v>0</v>
      </c>
      <c r="AF95" s="109">
        <f t="shared" ca="1" si="79"/>
        <v>0</v>
      </c>
      <c r="AG95" s="109">
        <f t="shared" ca="1" si="79"/>
        <v>0</v>
      </c>
      <c r="AH95" s="109">
        <f t="shared" ca="1" si="79"/>
        <v>0</v>
      </c>
      <c r="AI95" s="109">
        <f t="shared" ca="1" si="79"/>
        <v>0</v>
      </c>
      <c r="AJ95" s="109">
        <f t="shared" ref="AJ95:BO95" ca="1" si="80">AJ92-AJ80</f>
        <v>0</v>
      </c>
      <c r="AK95" s="109">
        <f t="shared" ca="1" si="80"/>
        <v>0</v>
      </c>
      <c r="AL95" s="109">
        <f t="shared" ca="1" si="80"/>
        <v>0</v>
      </c>
      <c r="AM95" s="109">
        <f t="shared" ca="1" si="80"/>
        <v>0</v>
      </c>
      <c r="AN95" s="109">
        <f t="shared" ca="1" si="80"/>
        <v>0</v>
      </c>
      <c r="AO95" s="157">
        <f t="shared" ca="1" si="80"/>
        <v>0</v>
      </c>
      <c r="AP95" s="109">
        <f t="shared" ca="1" si="80"/>
        <v>0</v>
      </c>
      <c r="AQ95" s="109">
        <f t="shared" ca="1" si="80"/>
        <v>0</v>
      </c>
      <c r="AR95" s="109">
        <f t="shared" ca="1" si="80"/>
        <v>0</v>
      </c>
      <c r="AS95" s="109">
        <f t="shared" ca="1" si="80"/>
        <v>0</v>
      </c>
      <c r="AT95" s="109">
        <f t="shared" ca="1" si="80"/>
        <v>0</v>
      </c>
      <c r="AU95" s="109">
        <f t="shared" ca="1" si="80"/>
        <v>0</v>
      </c>
      <c r="AV95" s="109">
        <f t="shared" ca="1" si="80"/>
        <v>0</v>
      </c>
      <c r="AW95" s="109">
        <f t="shared" ca="1" si="80"/>
        <v>0</v>
      </c>
      <c r="AX95" s="109">
        <f t="shared" ca="1" si="80"/>
        <v>0</v>
      </c>
      <c r="AY95" s="109">
        <f t="shared" ca="1" si="80"/>
        <v>0</v>
      </c>
      <c r="AZ95" s="109">
        <f t="shared" ca="1" si="80"/>
        <v>0</v>
      </c>
      <c r="BA95" s="109">
        <f t="shared" ca="1" si="80"/>
        <v>0</v>
      </c>
      <c r="BB95" s="109">
        <f t="shared" ca="1" si="80"/>
        <v>0</v>
      </c>
      <c r="BC95" s="109">
        <f t="shared" ca="1" si="80"/>
        <v>0</v>
      </c>
      <c r="BD95" s="109">
        <f t="shared" ca="1" si="80"/>
        <v>0</v>
      </c>
      <c r="BE95" s="109">
        <f t="shared" ca="1" si="80"/>
        <v>0</v>
      </c>
      <c r="BF95" s="109">
        <f t="shared" ca="1" si="80"/>
        <v>0</v>
      </c>
      <c r="BG95" s="109">
        <f t="shared" ca="1" si="80"/>
        <v>0</v>
      </c>
      <c r="BH95" s="109">
        <f t="shared" ca="1" si="80"/>
        <v>0</v>
      </c>
      <c r="BI95" s="109">
        <f t="shared" ca="1" si="80"/>
        <v>0</v>
      </c>
      <c r="BJ95" s="109">
        <f t="shared" ca="1" si="80"/>
        <v>0</v>
      </c>
      <c r="BK95" s="157">
        <f t="shared" ca="1" si="80"/>
        <v>0</v>
      </c>
      <c r="BL95" s="109">
        <f t="shared" ca="1" si="80"/>
        <v>0</v>
      </c>
      <c r="BM95" s="109">
        <f t="shared" ca="1" si="80"/>
        <v>0</v>
      </c>
      <c r="BN95" s="109">
        <f t="shared" ca="1" si="80"/>
        <v>0</v>
      </c>
      <c r="BO95" s="109">
        <f t="shared" ca="1" si="80"/>
        <v>0</v>
      </c>
      <c r="BP95" s="109">
        <f t="shared" ref="BP95:CY95" ca="1" si="81">BP92-BP80</f>
        <v>0</v>
      </c>
      <c r="BQ95" s="109">
        <f t="shared" ca="1" si="81"/>
        <v>0</v>
      </c>
      <c r="BR95" s="109">
        <f t="shared" ca="1" si="81"/>
        <v>0</v>
      </c>
      <c r="BS95" s="109">
        <f t="shared" ca="1" si="81"/>
        <v>0</v>
      </c>
      <c r="BT95" s="109">
        <f t="shared" ca="1" si="81"/>
        <v>0</v>
      </c>
      <c r="BU95" s="109">
        <f t="shared" ca="1" si="81"/>
        <v>0</v>
      </c>
      <c r="BV95" s="109">
        <f t="shared" ca="1" si="81"/>
        <v>0</v>
      </c>
      <c r="BW95" s="109">
        <f t="shared" ca="1" si="81"/>
        <v>0</v>
      </c>
      <c r="BX95" s="109">
        <f t="shared" ca="1" si="81"/>
        <v>0</v>
      </c>
      <c r="BY95" s="109">
        <f t="shared" ca="1" si="81"/>
        <v>0</v>
      </c>
      <c r="BZ95" s="109">
        <f t="shared" ca="1" si="81"/>
        <v>0</v>
      </c>
      <c r="CA95" s="157">
        <f t="shared" ca="1" si="81"/>
        <v>0</v>
      </c>
      <c r="CB95" s="109">
        <f t="shared" ca="1" si="81"/>
        <v>0</v>
      </c>
      <c r="CC95" s="109">
        <f t="shared" ca="1" si="81"/>
        <v>0</v>
      </c>
      <c r="CD95" s="109">
        <f t="shared" ca="1" si="81"/>
        <v>0</v>
      </c>
      <c r="CE95" s="109">
        <f t="shared" ca="1" si="81"/>
        <v>0</v>
      </c>
      <c r="CF95" s="109">
        <f t="shared" ca="1" si="81"/>
        <v>0</v>
      </c>
      <c r="CG95" s="109">
        <f t="shared" ca="1" si="81"/>
        <v>0</v>
      </c>
      <c r="CH95" s="109">
        <f t="shared" ca="1" si="81"/>
        <v>0</v>
      </c>
      <c r="CI95" s="109">
        <f t="shared" ca="1" si="81"/>
        <v>0</v>
      </c>
      <c r="CJ95" s="109">
        <f t="shared" ca="1" si="81"/>
        <v>0</v>
      </c>
      <c r="CK95" s="109">
        <f t="shared" ca="1" si="81"/>
        <v>0</v>
      </c>
      <c r="CL95" s="109">
        <f t="shared" ca="1" si="81"/>
        <v>0</v>
      </c>
      <c r="CM95" s="109">
        <f t="shared" ca="1" si="81"/>
        <v>0</v>
      </c>
      <c r="CN95" s="109">
        <f t="shared" ca="1" si="81"/>
        <v>0</v>
      </c>
      <c r="CO95" s="109">
        <f t="shared" ca="1" si="81"/>
        <v>0</v>
      </c>
      <c r="CP95" s="109">
        <f t="shared" ca="1" si="81"/>
        <v>0</v>
      </c>
      <c r="CQ95" s="109">
        <f t="shared" ca="1" si="81"/>
        <v>0</v>
      </c>
      <c r="CR95" s="109">
        <f t="shared" ca="1" si="81"/>
        <v>0</v>
      </c>
      <c r="CS95" s="109">
        <f t="shared" ca="1" si="81"/>
        <v>0</v>
      </c>
      <c r="CT95" s="109">
        <f t="shared" ca="1" si="81"/>
        <v>0</v>
      </c>
      <c r="CU95" s="109">
        <f t="shared" ca="1" si="81"/>
        <v>0</v>
      </c>
      <c r="CV95" s="109">
        <f t="shared" ca="1" si="81"/>
        <v>0</v>
      </c>
      <c r="CW95" s="109">
        <f t="shared" ca="1" si="81"/>
        <v>0</v>
      </c>
      <c r="CX95" s="109">
        <f t="shared" ca="1" si="81"/>
        <v>0</v>
      </c>
      <c r="CY95" s="109">
        <f t="shared" ca="1" si="81"/>
        <v>0</v>
      </c>
    </row>
    <row r="96" spans="1:103" x14ac:dyDescent="0.2">
      <c r="D96" s="32"/>
      <c r="AO96" s="158"/>
      <c r="AP96" s="14"/>
      <c r="BK96" s="158"/>
      <c r="BL96" s="14"/>
      <c r="CA96" s="158"/>
      <c r="CB96" s="14"/>
    </row>
    <row r="97" spans="1:103" x14ac:dyDescent="0.2">
      <c r="A97" s="302" t="s">
        <v>350</v>
      </c>
      <c r="D97" s="52"/>
      <c r="AO97" s="158"/>
      <c r="AP97" s="14"/>
      <c r="BK97" s="158"/>
      <c r="BL97" s="14"/>
      <c r="CA97" s="158"/>
      <c r="CB97" s="14"/>
    </row>
    <row r="98" spans="1:103" ht="13.5" thickBot="1" x14ac:dyDescent="0.25">
      <c r="A98" s="122"/>
      <c r="D98" s="52"/>
      <c r="AO98" s="158"/>
      <c r="AP98" s="14"/>
      <c r="BK98" s="158"/>
      <c r="BL98" s="14"/>
      <c r="CA98" s="158"/>
      <c r="CB98" s="14"/>
    </row>
    <row r="99" spans="1:103" ht="15" customHeight="1" thickBot="1" x14ac:dyDescent="0.25">
      <c r="A99" s="303" t="s">
        <v>177</v>
      </c>
      <c r="B99" s="304"/>
      <c r="C99" s="286">
        <f>SUM(D99:CY99)</f>
        <v>0</v>
      </c>
      <c r="D99" s="299">
        <f>IF(D6&lt;'Data Entry'!$B$12,'Data Entry'!$J$156,0)</f>
        <v>0</v>
      </c>
      <c r="E99" s="299">
        <f>IF(E6&lt;'Data Entry'!$B$12,'Data Entry'!$J$156,0)</f>
        <v>0</v>
      </c>
      <c r="F99" s="299">
        <f>IF(F6&lt;'Data Entry'!$B$12,'Data Entry'!$J$156,0)</f>
        <v>0</v>
      </c>
      <c r="G99" s="299">
        <f>IF(G6&lt;'Data Entry'!$B$12,'Data Entry'!$J$156,0)</f>
        <v>0</v>
      </c>
      <c r="H99" s="299">
        <f>IF(H6&lt;'Data Entry'!$B$12,'Data Entry'!$J$156,0)</f>
        <v>0</v>
      </c>
      <c r="I99" s="299">
        <f>IF(I6&lt;'Data Entry'!$B$12,'Data Entry'!$J$156,0)</f>
        <v>0</v>
      </c>
      <c r="J99" s="299">
        <f>IF(J6&lt;'Data Entry'!$B$12,'Data Entry'!$J$156,0)</f>
        <v>0</v>
      </c>
      <c r="K99" s="299">
        <f>IF(K6&lt;'Data Entry'!$B$12,'Data Entry'!$J$156,0)</f>
        <v>0</v>
      </c>
      <c r="L99" s="299">
        <f>IF(L6&lt;'Data Entry'!$B$12,'Data Entry'!$J$156,0)</f>
        <v>0</v>
      </c>
      <c r="M99" s="299">
        <f>IF(M6&lt;'Data Entry'!$B$12,'Data Entry'!$J$156,0)</f>
        <v>0</v>
      </c>
      <c r="N99" s="299">
        <f>IF(N6&lt;'Data Entry'!$B$12,'Data Entry'!$J$156,0)</f>
        <v>0</v>
      </c>
      <c r="O99" s="299">
        <f>IF(O6&lt;'Data Entry'!$B$12,'Data Entry'!$J$156,0)</f>
        <v>0</v>
      </c>
      <c r="P99" s="299">
        <f>IF(P6&lt;'Data Entry'!$B$12,'Data Entry'!$J$156,0)</f>
        <v>0</v>
      </c>
      <c r="Q99" s="299">
        <f>IF(Q6&lt;'Data Entry'!$B$12,'Data Entry'!$J$156,0)</f>
        <v>0</v>
      </c>
      <c r="R99" s="299">
        <f>IF(R6&lt;'Data Entry'!$B$12,'Data Entry'!$J$156,0)</f>
        <v>0</v>
      </c>
      <c r="S99" s="299">
        <f>IF(S6&lt;'Data Entry'!$B$12,'Data Entry'!$J$156,0)</f>
        <v>0</v>
      </c>
      <c r="T99" s="299">
        <f>IF(T6&lt;'Data Entry'!$B$12,'Data Entry'!$J$156,0)</f>
        <v>0</v>
      </c>
      <c r="U99" s="299">
        <f>IF(U6&lt;'Data Entry'!$B$12,'Data Entry'!$J$156,0)</f>
        <v>0</v>
      </c>
      <c r="V99" s="299">
        <f>IF(V6&lt;'Data Entry'!$B$12,'Data Entry'!$J$156,0)</f>
        <v>0</v>
      </c>
      <c r="W99" s="299">
        <f>IF(W6&lt;'Data Entry'!$B$12,'Data Entry'!$J$156,0)</f>
        <v>0</v>
      </c>
      <c r="X99" s="299">
        <f>IF(X6&lt;'Data Entry'!$B$12,'Data Entry'!$J$156,0)</f>
        <v>0</v>
      </c>
      <c r="Y99" s="299">
        <f>IF(Y6&lt;'Data Entry'!$B$12,'Data Entry'!$J$156,0)</f>
        <v>0</v>
      </c>
      <c r="Z99" s="299">
        <f>IF(Z6&lt;'Data Entry'!$B$12,'Data Entry'!$J$156,0)</f>
        <v>0</v>
      </c>
      <c r="AA99" s="299">
        <f>IF(AA6&lt;'Data Entry'!$B$12,'Data Entry'!$J$156,0)</f>
        <v>0</v>
      </c>
      <c r="AB99" s="299">
        <f>IF(AB6&lt;'Data Entry'!$B$12,'Data Entry'!$J$156,0)</f>
        <v>0</v>
      </c>
      <c r="AC99" s="299">
        <f>IF(AC6&lt;'Data Entry'!$B$12,'Data Entry'!$J$156,0)</f>
        <v>0</v>
      </c>
      <c r="AD99" s="299">
        <f>IF(AD6&lt;'Data Entry'!$B$12,'Data Entry'!$J$156,0)</f>
        <v>0</v>
      </c>
      <c r="AE99" s="299">
        <f>IF(AE6&lt;'Data Entry'!$B$12,'Data Entry'!$J$156,0)</f>
        <v>0</v>
      </c>
      <c r="AF99" s="299">
        <f>IF(AF6&lt;'Data Entry'!$B$12,'Data Entry'!$J$156,0)</f>
        <v>0</v>
      </c>
      <c r="AG99" s="299">
        <f>IF(AG6&lt;'Data Entry'!$B$12,'Data Entry'!$J$156,0)</f>
        <v>0</v>
      </c>
      <c r="AH99" s="299">
        <f>IF(AH6&lt;'Data Entry'!$B$12,'Data Entry'!$J$156,0)</f>
        <v>0</v>
      </c>
      <c r="AI99" s="299">
        <f>IF(AI6&lt;'Data Entry'!$B$12,'Data Entry'!$J$156,0)</f>
        <v>0</v>
      </c>
      <c r="AJ99" s="299">
        <f>IF(AJ6&lt;'Data Entry'!$B$12,'Data Entry'!$J$156,0)</f>
        <v>0</v>
      </c>
      <c r="AK99" s="299">
        <f>IF(AK6&lt;'Data Entry'!$B$12,'Data Entry'!$J$156,0)</f>
        <v>0</v>
      </c>
      <c r="AL99" s="299">
        <f>IF(AL6&lt;'Data Entry'!$B$12,'Data Entry'!$J$156,0)</f>
        <v>0</v>
      </c>
      <c r="AM99" s="299">
        <f>IF(AM6&lt;'Data Entry'!$B$12,'Data Entry'!$J$156,0)</f>
        <v>0</v>
      </c>
      <c r="AN99" s="299">
        <f>IF(AN6&lt;'Data Entry'!$B$12,'Data Entry'!$J$156,0)</f>
        <v>0</v>
      </c>
      <c r="AO99" s="448">
        <f>IF(AO6&lt;'Data Entry'!$B$12,'Data Entry'!$J$156,0)</f>
        <v>0</v>
      </c>
      <c r="AP99" s="299">
        <f>IF(AP6&lt;'Data Entry'!$B$12,'Data Entry'!$J$156,0)</f>
        <v>0</v>
      </c>
      <c r="AQ99" s="299">
        <f>IF(AQ6&lt;'Data Entry'!$B$12,'Data Entry'!$J$156,0)</f>
        <v>0</v>
      </c>
      <c r="AR99" s="299">
        <f>IF(AR6&lt;'Data Entry'!$B$12,'Data Entry'!$J$156,0)</f>
        <v>0</v>
      </c>
      <c r="AS99" s="299">
        <f>IF(AS6&lt;'Data Entry'!$B$12,'Data Entry'!$J$156,0)</f>
        <v>0</v>
      </c>
      <c r="AT99" s="299">
        <f>IF(AT6&lt;'Data Entry'!$B$12,'Data Entry'!$J$156,0)</f>
        <v>0</v>
      </c>
      <c r="AU99" s="299">
        <f>IF(AU6&lt;'Data Entry'!$B$12,'Data Entry'!$J$156,0)</f>
        <v>0</v>
      </c>
      <c r="AV99" s="299">
        <f>IF(AV6&lt;'Data Entry'!$B$12,'Data Entry'!$J$156,0)</f>
        <v>0</v>
      </c>
      <c r="AW99" s="299">
        <f>IF(AW6&lt;'Data Entry'!$B$12,'Data Entry'!$J$156,0)</f>
        <v>0</v>
      </c>
      <c r="AX99" s="299">
        <f>IF(AX6&lt;'Data Entry'!$B$12,'Data Entry'!$J$156,0)</f>
        <v>0</v>
      </c>
      <c r="AY99" s="299">
        <f>IF(AY6&lt;'Data Entry'!$B$12,'Data Entry'!$J$156,0)</f>
        <v>0</v>
      </c>
      <c r="AZ99" s="299">
        <f>IF(AZ6&lt;'Data Entry'!$B$12,'Data Entry'!$J$156,0)</f>
        <v>0</v>
      </c>
      <c r="BA99" s="299">
        <f>IF(BA6&lt;'Data Entry'!$B$12,'Data Entry'!$J$156,0)</f>
        <v>0</v>
      </c>
      <c r="BB99" s="299">
        <f>IF(BB6&lt;'Data Entry'!$B$12,'Data Entry'!$J$156,0)</f>
        <v>0</v>
      </c>
      <c r="BC99" s="299">
        <f>IF(BC6&lt;'Data Entry'!$B$12,'Data Entry'!$J$156,0)</f>
        <v>0</v>
      </c>
      <c r="BD99" s="299">
        <f>IF(BD6&lt;'Data Entry'!$B$12,'Data Entry'!$J$156,0)</f>
        <v>0</v>
      </c>
      <c r="BE99" s="299">
        <f>IF(BE6&lt;'Data Entry'!$B$12,'Data Entry'!$J$156,0)</f>
        <v>0</v>
      </c>
      <c r="BF99" s="299">
        <f>IF(BF6&lt;'Data Entry'!$B$12,'Data Entry'!$J$156,0)</f>
        <v>0</v>
      </c>
      <c r="BG99" s="299">
        <f>IF(BG6&lt;'Data Entry'!$B$12,'Data Entry'!$J$156,0)</f>
        <v>0</v>
      </c>
      <c r="BH99" s="299">
        <f>IF(BH6&lt;'Data Entry'!$B$12,'Data Entry'!$J$156,0)</f>
        <v>0</v>
      </c>
      <c r="BI99" s="299">
        <f>IF(BI6&lt;'Data Entry'!$B$12,'Data Entry'!$J$156,0)</f>
        <v>0</v>
      </c>
      <c r="BJ99" s="299">
        <f>IF(BJ6&lt;'Data Entry'!$B$12,'Data Entry'!$J$156,0)</f>
        <v>0</v>
      </c>
      <c r="BK99" s="448">
        <f>IF(BK6&lt;'Data Entry'!$B$12,'Data Entry'!$J$156,0)</f>
        <v>0</v>
      </c>
      <c r="BL99" s="299">
        <f>IF(BL6&lt;'Data Entry'!$B$12,'Data Entry'!$J$156,0)</f>
        <v>0</v>
      </c>
      <c r="BM99" s="299">
        <f>IF(BM6&lt;'Data Entry'!$B$12,'Data Entry'!$J$156,0)</f>
        <v>0</v>
      </c>
      <c r="BN99" s="299">
        <f>IF(BN6&lt;'Data Entry'!$B$12,'Data Entry'!$J$156,0)</f>
        <v>0</v>
      </c>
      <c r="BO99" s="299">
        <f>IF(BO6&lt;'Data Entry'!$B$12,'Data Entry'!$J$156,0)</f>
        <v>0</v>
      </c>
      <c r="BP99" s="299">
        <f>IF(BP6&lt;'Data Entry'!$B$12,'Data Entry'!$J$156,0)</f>
        <v>0</v>
      </c>
      <c r="BQ99" s="299">
        <f>IF(BQ6&lt;'Data Entry'!$B$12,'Data Entry'!$J$156,0)</f>
        <v>0</v>
      </c>
      <c r="BR99" s="299">
        <f>IF(BR6&lt;'Data Entry'!$B$12,'Data Entry'!$J$156,0)</f>
        <v>0</v>
      </c>
      <c r="BS99" s="299">
        <f>IF(BS6&lt;'Data Entry'!$B$12,'Data Entry'!$J$156,0)</f>
        <v>0</v>
      </c>
      <c r="BT99" s="299">
        <f>IF(BT6&lt;'Data Entry'!$B$12,'Data Entry'!$J$156,0)</f>
        <v>0</v>
      </c>
      <c r="BU99" s="299">
        <f>IF(BU6&lt;'Data Entry'!$B$12,'Data Entry'!$J$156,0)</f>
        <v>0</v>
      </c>
      <c r="BV99" s="299">
        <f>IF(BV6&lt;'Data Entry'!$B$12,'Data Entry'!$J$156,0)</f>
        <v>0</v>
      </c>
      <c r="BW99" s="299">
        <f>IF(BW6&lt;'Data Entry'!$B$12,'Data Entry'!$J$156,0)</f>
        <v>0</v>
      </c>
      <c r="BX99" s="299">
        <f>IF(BX6&lt;'Data Entry'!$B$12,'Data Entry'!$J$156,0)</f>
        <v>0</v>
      </c>
      <c r="BY99" s="299">
        <f>IF(BY6&lt;'Data Entry'!$B$12,'Data Entry'!$J$156,0)</f>
        <v>0</v>
      </c>
      <c r="BZ99" s="299">
        <f>IF(BZ6&lt;'Data Entry'!$B$12,'Data Entry'!$J$156,0)</f>
        <v>0</v>
      </c>
      <c r="CA99" s="448">
        <f>IF(CA6&lt;'Data Entry'!$B$12,'Data Entry'!$J$156,0)</f>
        <v>0</v>
      </c>
      <c r="CB99" s="299">
        <f>IF(CB6&lt;'Data Entry'!$B$12,'Data Entry'!$J$156,0)</f>
        <v>0</v>
      </c>
      <c r="CC99" s="299">
        <f>IF(CC6&lt;'Data Entry'!$B$12,'Data Entry'!$J$156,0)</f>
        <v>0</v>
      </c>
      <c r="CD99" s="299">
        <f>IF(CD6&lt;'Data Entry'!$B$12,'Data Entry'!$J$156,0)</f>
        <v>0</v>
      </c>
      <c r="CE99" s="299">
        <f>IF(CE6&lt;'Data Entry'!$B$12,'Data Entry'!$J$156,0)</f>
        <v>0</v>
      </c>
      <c r="CF99" s="299">
        <f>IF(CF6&lt;'Data Entry'!$B$12,'Data Entry'!$J$156,0)</f>
        <v>0</v>
      </c>
      <c r="CG99" s="299">
        <f>IF(CG6&lt;'Data Entry'!$B$12,'Data Entry'!$J$156,0)</f>
        <v>0</v>
      </c>
      <c r="CH99" s="299">
        <f>IF(CH6&lt;'Data Entry'!$B$12,'Data Entry'!$J$156,0)</f>
        <v>0</v>
      </c>
      <c r="CI99" s="299">
        <f>IF(CI6&lt;'Data Entry'!$B$12,'Data Entry'!$J$156,0)</f>
        <v>0</v>
      </c>
      <c r="CJ99" s="299">
        <f>IF(CJ6&lt;'Data Entry'!$B$12,'Data Entry'!$J$156,0)</f>
        <v>0</v>
      </c>
      <c r="CK99" s="299">
        <f>IF(CK6&lt;'Data Entry'!$B$12,'Data Entry'!$J$156,0)</f>
        <v>0</v>
      </c>
      <c r="CL99" s="299">
        <f>IF(CL6&lt;'Data Entry'!$B$12,'Data Entry'!$J$156,0)</f>
        <v>0</v>
      </c>
      <c r="CM99" s="299">
        <f>IF(CM6&lt;'Data Entry'!$B$12,'Data Entry'!$J$156,0)</f>
        <v>0</v>
      </c>
      <c r="CN99" s="299">
        <f>IF(CN6&lt;'Data Entry'!$B$12,'Data Entry'!$J$156,0)</f>
        <v>0</v>
      </c>
      <c r="CO99" s="299">
        <f>IF(CO6&lt;'Data Entry'!$B$12,'Data Entry'!$J$156,0)</f>
        <v>0</v>
      </c>
      <c r="CP99" s="299">
        <f>IF(CP6&lt;'Data Entry'!$B$12,'Data Entry'!$J$156,0)</f>
        <v>0</v>
      </c>
      <c r="CQ99" s="299">
        <f>IF(CQ6&lt;'Data Entry'!$B$12,'Data Entry'!$J$156,0)</f>
        <v>0</v>
      </c>
      <c r="CR99" s="299">
        <f>IF(CR6&lt;'Data Entry'!$B$12,'Data Entry'!$J$156,0)</f>
        <v>0</v>
      </c>
      <c r="CS99" s="299">
        <f>IF(CS6&lt;'Data Entry'!$B$12,'Data Entry'!$J$156,0)</f>
        <v>0</v>
      </c>
      <c r="CT99" s="299">
        <f>IF(CT6&lt;'Data Entry'!$B$12,'Data Entry'!$J$156,0)</f>
        <v>0</v>
      </c>
      <c r="CU99" s="299">
        <f>IF(CU6&lt;'Data Entry'!$B$12,'Data Entry'!$J$156,0)</f>
        <v>0</v>
      </c>
      <c r="CV99" s="299">
        <f>IF(CV6&lt;'Data Entry'!$B$12,'Data Entry'!$J$156,0)</f>
        <v>0</v>
      </c>
      <c r="CW99" s="299">
        <f>IF(CW6&lt;'Data Entry'!$B$12,'Data Entry'!$J$156,0)</f>
        <v>0</v>
      </c>
      <c r="CX99" s="299">
        <f>IF(CX6&lt;'Data Entry'!$B$12,'Data Entry'!$J$156,0)</f>
        <v>0</v>
      </c>
      <c r="CY99" s="299">
        <f>IF(CY6&lt;'Data Entry'!$B$12,'Data Entry'!$J$156,0)</f>
        <v>0</v>
      </c>
    </row>
    <row r="100" spans="1:103" ht="15" customHeight="1" thickBot="1" x14ac:dyDescent="0.25">
      <c r="A100" s="89"/>
      <c r="B100" s="49"/>
      <c r="C100" s="271"/>
      <c r="D100" s="4"/>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c r="AF100" s="4"/>
      <c r="AG100" s="4"/>
      <c r="AH100" s="4"/>
      <c r="AI100" s="4"/>
      <c r="AJ100" s="4"/>
      <c r="AK100" s="4"/>
      <c r="AL100" s="4"/>
      <c r="AM100" s="4"/>
      <c r="AN100" s="4"/>
      <c r="AO100" s="149"/>
      <c r="AP100" s="4"/>
      <c r="AQ100" s="4"/>
      <c r="AR100" s="4"/>
      <c r="AS100" s="4"/>
      <c r="AT100" s="4"/>
      <c r="AU100" s="4"/>
      <c r="AV100" s="4"/>
      <c r="AW100" s="4"/>
      <c r="AX100" s="4"/>
      <c r="AY100" s="4"/>
      <c r="AZ100" s="4"/>
      <c r="BA100" s="4"/>
      <c r="BB100" s="4"/>
      <c r="BC100" s="4"/>
      <c r="BD100" s="4"/>
      <c r="BE100" s="4"/>
      <c r="BF100" s="4"/>
      <c r="BG100" s="4"/>
      <c r="BH100" s="4"/>
      <c r="BI100" s="4"/>
      <c r="BJ100" s="4"/>
      <c r="BK100" s="149"/>
      <c r="BL100" s="4"/>
      <c r="BM100" s="4"/>
      <c r="BN100" s="4"/>
      <c r="BO100" s="4"/>
      <c r="BP100" s="4"/>
      <c r="BQ100" s="4"/>
      <c r="BR100" s="4"/>
      <c r="BS100" s="4"/>
      <c r="BT100" s="4"/>
      <c r="BU100" s="4"/>
      <c r="BV100" s="4"/>
      <c r="BW100" s="4"/>
      <c r="BX100" s="4"/>
      <c r="BY100" s="4"/>
      <c r="BZ100" s="4"/>
      <c r="CA100" s="149"/>
      <c r="CB100" s="4"/>
      <c r="CC100" s="4"/>
      <c r="CD100" s="4"/>
      <c r="CE100" s="4"/>
      <c r="CF100" s="4"/>
      <c r="CG100" s="4"/>
      <c r="CH100" s="4"/>
      <c r="CI100" s="4"/>
      <c r="CJ100" s="4"/>
      <c r="CK100" s="4"/>
      <c r="CL100" s="4"/>
      <c r="CM100" s="4"/>
      <c r="CN100" s="4"/>
      <c r="CO100" s="4"/>
      <c r="CP100" s="4"/>
      <c r="CQ100" s="4"/>
      <c r="CR100" s="4"/>
      <c r="CS100" s="4"/>
      <c r="CT100" s="4"/>
      <c r="CU100" s="4"/>
      <c r="CV100" s="4"/>
      <c r="CW100" s="4"/>
      <c r="CX100" s="4"/>
      <c r="CY100" s="4"/>
    </row>
    <row r="101" spans="1:103" s="387" customFormat="1" ht="15" customHeight="1" thickBot="1" x14ac:dyDescent="0.25">
      <c r="A101" s="323" t="s">
        <v>349</v>
      </c>
      <c r="B101" s="324"/>
      <c r="C101" s="300">
        <f>SUM(D101:CY101)</f>
        <v>0</v>
      </c>
      <c r="D101" s="325">
        <f>D99/((1+D77)^D6)</f>
        <v>0</v>
      </c>
      <c r="E101" s="325">
        <f t="shared" ref="E101:AI101" si="82">E99/((1+E77)^E6)</f>
        <v>0</v>
      </c>
      <c r="F101" s="325">
        <f t="shared" si="82"/>
        <v>0</v>
      </c>
      <c r="G101" s="325">
        <f t="shared" si="82"/>
        <v>0</v>
      </c>
      <c r="H101" s="325">
        <f t="shared" si="82"/>
        <v>0</v>
      </c>
      <c r="I101" s="325">
        <f t="shared" si="82"/>
        <v>0</v>
      </c>
      <c r="J101" s="325">
        <f t="shared" si="82"/>
        <v>0</v>
      </c>
      <c r="K101" s="325">
        <f t="shared" si="82"/>
        <v>0</v>
      </c>
      <c r="L101" s="325">
        <f t="shared" si="82"/>
        <v>0</v>
      </c>
      <c r="M101" s="325">
        <f t="shared" si="82"/>
        <v>0</v>
      </c>
      <c r="N101" s="325">
        <f t="shared" si="82"/>
        <v>0</v>
      </c>
      <c r="O101" s="325">
        <f t="shared" si="82"/>
        <v>0</v>
      </c>
      <c r="P101" s="325">
        <f t="shared" si="82"/>
        <v>0</v>
      </c>
      <c r="Q101" s="325">
        <f t="shared" si="82"/>
        <v>0</v>
      </c>
      <c r="R101" s="325">
        <f t="shared" si="82"/>
        <v>0</v>
      </c>
      <c r="S101" s="325">
        <f t="shared" si="82"/>
        <v>0</v>
      </c>
      <c r="T101" s="325">
        <f t="shared" si="82"/>
        <v>0</v>
      </c>
      <c r="U101" s="325">
        <f t="shared" si="82"/>
        <v>0</v>
      </c>
      <c r="V101" s="325">
        <f t="shared" si="82"/>
        <v>0</v>
      </c>
      <c r="W101" s="325">
        <f t="shared" si="82"/>
        <v>0</v>
      </c>
      <c r="X101" s="325">
        <f t="shared" si="82"/>
        <v>0</v>
      </c>
      <c r="Y101" s="325">
        <f t="shared" si="82"/>
        <v>0</v>
      </c>
      <c r="Z101" s="325">
        <f t="shared" si="82"/>
        <v>0</v>
      </c>
      <c r="AA101" s="325">
        <f t="shared" si="82"/>
        <v>0</v>
      </c>
      <c r="AB101" s="325">
        <f t="shared" si="82"/>
        <v>0</v>
      </c>
      <c r="AC101" s="325">
        <f t="shared" si="82"/>
        <v>0</v>
      </c>
      <c r="AD101" s="325">
        <f t="shared" si="82"/>
        <v>0</v>
      </c>
      <c r="AE101" s="325">
        <f t="shared" si="82"/>
        <v>0</v>
      </c>
      <c r="AF101" s="325">
        <f t="shared" si="82"/>
        <v>0</v>
      </c>
      <c r="AG101" s="325">
        <f t="shared" si="82"/>
        <v>0</v>
      </c>
      <c r="AH101" s="325">
        <f t="shared" si="82"/>
        <v>0</v>
      </c>
      <c r="AI101" s="325">
        <f t="shared" si="82"/>
        <v>0</v>
      </c>
      <c r="AJ101" s="325">
        <f t="shared" ref="AJ101:BO101" si="83">AJ99/((1+AJ77)^AJ6)</f>
        <v>0</v>
      </c>
      <c r="AK101" s="325">
        <f t="shared" si="83"/>
        <v>0</v>
      </c>
      <c r="AL101" s="325">
        <f t="shared" si="83"/>
        <v>0</v>
      </c>
      <c r="AM101" s="325">
        <f t="shared" si="83"/>
        <v>0</v>
      </c>
      <c r="AN101" s="325">
        <f t="shared" si="83"/>
        <v>0</v>
      </c>
      <c r="AO101" s="326">
        <f t="shared" si="83"/>
        <v>0</v>
      </c>
      <c r="AP101" s="325">
        <f t="shared" si="83"/>
        <v>0</v>
      </c>
      <c r="AQ101" s="325">
        <f t="shared" si="83"/>
        <v>0</v>
      </c>
      <c r="AR101" s="325">
        <f t="shared" si="83"/>
        <v>0</v>
      </c>
      <c r="AS101" s="325">
        <f t="shared" si="83"/>
        <v>0</v>
      </c>
      <c r="AT101" s="325">
        <f t="shared" si="83"/>
        <v>0</v>
      </c>
      <c r="AU101" s="325">
        <f t="shared" si="83"/>
        <v>0</v>
      </c>
      <c r="AV101" s="325">
        <f t="shared" si="83"/>
        <v>0</v>
      </c>
      <c r="AW101" s="325">
        <f t="shared" si="83"/>
        <v>0</v>
      </c>
      <c r="AX101" s="325">
        <f t="shared" si="83"/>
        <v>0</v>
      </c>
      <c r="AY101" s="325">
        <f t="shared" si="83"/>
        <v>0</v>
      </c>
      <c r="AZ101" s="325">
        <f t="shared" si="83"/>
        <v>0</v>
      </c>
      <c r="BA101" s="325">
        <f t="shared" si="83"/>
        <v>0</v>
      </c>
      <c r="BB101" s="325">
        <f t="shared" si="83"/>
        <v>0</v>
      </c>
      <c r="BC101" s="325">
        <f t="shared" si="83"/>
        <v>0</v>
      </c>
      <c r="BD101" s="325">
        <f t="shared" si="83"/>
        <v>0</v>
      </c>
      <c r="BE101" s="325">
        <f t="shared" si="83"/>
        <v>0</v>
      </c>
      <c r="BF101" s="325">
        <f t="shared" si="83"/>
        <v>0</v>
      </c>
      <c r="BG101" s="325">
        <f t="shared" si="83"/>
        <v>0</v>
      </c>
      <c r="BH101" s="325">
        <f t="shared" si="83"/>
        <v>0</v>
      </c>
      <c r="BI101" s="325">
        <f t="shared" si="83"/>
        <v>0</v>
      </c>
      <c r="BJ101" s="325">
        <f t="shared" si="83"/>
        <v>0</v>
      </c>
      <c r="BK101" s="326">
        <f t="shared" si="83"/>
        <v>0</v>
      </c>
      <c r="BL101" s="325">
        <f t="shared" si="83"/>
        <v>0</v>
      </c>
      <c r="BM101" s="325">
        <f t="shared" si="83"/>
        <v>0</v>
      </c>
      <c r="BN101" s="325">
        <f t="shared" si="83"/>
        <v>0</v>
      </c>
      <c r="BO101" s="325">
        <f t="shared" si="83"/>
        <v>0</v>
      </c>
      <c r="BP101" s="325">
        <f t="shared" ref="BP101:CY101" si="84">BP99/((1+BP77)^BP6)</f>
        <v>0</v>
      </c>
      <c r="BQ101" s="325">
        <f t="shared" si="84"/>
        <v>0</v>
      </c>
      <c r="BR101" s="325">
        <f t="shared" si="84"/>
        <v>0</v>
      </c>
      <c r="BS101" s="325">
        <f t="shared" si="84"/>
        <v>0</v>
      </c>
      <c r="BT101" s="325">
        <f t="shared" si="84"/>
        <v>0</v>
      </c>
      <c r="BU101" s="325">
        <f t="shared" si="84"/>
        <v>0</v>
      </c>
      <c r="BV101" s="325">
        <f t="shared" si="84"/>
        <v>0</v>
      </c>
      <c r="BW101" s="325">
        <f t="shared" si="84"/>
        <v>0</v>
      </c>
      <c r="BX101" s="325">
        <f t="shared" si="84"/>
        <v>0</v>
      </c>
      <c r="BY101" s="325">
        <f t="shared" si="84"/>
        <v>0</v>
      </c>
      <c r="BZ101" s="325">
        <f t="shared" si="84"/>
        <v>0</v>
      </c>
      <c r="CA101" s="326">
        <f t="shared" si="84"/>
        <v>0</v>
      </c>
      <c r="CB101" s="325">
        <f t="shared" si="84"/>
        <v>0</v>
      </c>
      <c r="CC101" s="325">
        <f t="shared" si="84"/>
        <v>0</v>
      </c>
      <c r="CD101" s="325">
        <f t="shared" si="84"/>
        <v>0</v>
      </c>
      <c r="CE101" s="325">
        <f t="shared" si="84"/>
        <v>0</v>
      </c>
      <c r="CF101" s="325">
        <f t="shared" si="84"/>
        <v>0</v>
      </c>
      <c r="CG101" s="325">
        <f t="shared" si="84"/>
        <v>0</v>
      </c>
      <c r="CH101" s="325">
        <f t="shared" si="84"/>
        <v>0</v>
      </c>
      <c r="CI101" s="325">
        <f t="shared" si="84"/>
        <v>0</v>
      </c>
      <c r="CJ101" s="325">
        <f t="shared" si="84"/>
        <v>0</v>
      </c>
      <c r="CK101" s="325">
        <f t="shared" si="84"/>
        <v>0</v>
      </c>
      <c r="CL101" s="325">
        <f t="shared" si="84"/>
        <v>0</v>
      </c>
      <c r="CM101" s="325">
        <f t="shared" si="84"/>
        <v>0</v>
      </c>
      <c r="CN101" s="325">
        <f t="shared" si="84"/>
        <v>0</v>
      </c>
      <c r="CO101" s="325">
        <f t="shared" si="84"/>
        <v>0</v>
      </c>
      <c r="CP101" s="325">
        <f t="shared" si="84"/>
        <v>0</v>
      </c>
      <c r="CQ101" s="325">
        <f t="shared" si="84"/>
        <v>0</v>
      </c>
      <c r="CR101" s="325">
        <f t="shared" si="84"/>
        <v>0</v>
      </c>
      <c r="CS101" s="325">
        <f t="shared" si="84"/>
        <v>0</v>
      </c>
      <c r="CT101" s="325">
        <f t="shared" si="84"/>
        <v>0</v>
      </c>
      <c r="CU101" s="325">
        <f t="shared" si="84"/>
        <v>0</v>
      </c>
      <c r="CV101" s="325">
        <f t="shared" si="84"/>
        <v>0</v>
      </c>
      <c r="CW101" s="325">
        <f t="shared" si="84"/>
        <v>0</v>
      </c>
      <c r="CX101" s="325">
        <f t="shared" si="84"/>
        <v>0</v>
      </c>
      <c r="CY101" s="325">
        <f t="shared" si="84"/>
        <v>0</v>
      </c>
    </row>
  </sheetData>
  <sheetProtection algorithmName="SHA-512" hashValue="XI0c6/uTRtn06h7Hg4F5DpbA6F7VdLgTvEvN5YoXzo+eimjNCr0chZGL1/5eWcqXeCL7ayicL7jaupJVmy79sg==" saltValue="ZgvBw7FTZe58BjGPlss1Qw==" spinCount="100000" sheet="1" formatColumns="0" formatRows="0"/>
  <mergeCells count="5">
    <mergeCell ref="B3:C3"/>
    <mergeCell ref="A48:A52"/>
    <mergeCell ref="A8:A33"/>
    <mergeCell ref="A35:A38"/>
    <mergeCell ref="A40:A43"/>
  </mergeCells>
  <phoneticPr fontId="2" type="noConversion"/>
  <dataValidations count="4">
    <dataValidation type="textLength" allowBlank="1" showInputMessage="1" showErrorMessage="1" sqref="B40:C43 B48:C52 B59:B61 B35:B36 B11:B14 B16:B27 B29:B32 B2:B3 C35:C38 C10:C33">
      <formula1>0</formula1>
      <formula2>30</formula2>
    </dataValidation>
    <dataValidation type="textLength" errorStyle="information" allowBlank="1" showInputMessage="1" showErrorMessage="1" sqref="B58">
      <formula1>0</formula1>
      <formula2>30</formula2>
    </dataValidation>
    <dataValidation type="decimal" operator="greaterThanOrEqual" allowBlank="1" showInputMessage="1" showErrorMessage="1" sqref="D58:CY61 AQ56 D55 CE15:CE27 CC56:CE56 CG56:CY56 Y48:CY51 E48:S49 Y19:AK20 CJ29:CY29 D48:D51 T48:X50 D52:CY52 CG15:CY20 T11:V27 AL14 O32:P32 W21:AK27 W15:W17 W11:AK14 Y15:AK17 W19:W20 W18:AK18 AL15:AN27 R20 R11:S19 M32:M33 D33:L33 AL11:AN13 AO12 AO11:CY11 AO22:AO27 D29:P31 AO15:AP21 BS55:BV55 BM14:BU14 AP29:AR30 E32:L32 BM15:BZ27 AQ18:BJ18 AS15:BJ17 AO13:BJ13 AQ12:BJ12 AN14:BJ14 AS19:BJ20 AW29:BN29 CF29 AT30:BN30 BM12:BZ13 AQ15:AQ17 BW14:BZ14 CC12:CD27 BP29:CD30 CF30:CY30 BK12:BK27 AQ19:AQ27 CE12:CY14 R29:AO32 CA12:CA27 CF21:CY27 Q29:Q33 AP31:CY32 E51:X51 E55:T56 U55 CV55:CY55 AI55:AJ55 Y55:Z55 AD55:AE55 W55 AB55 AG55 AL55 AN55:AQ55 AS55:AV55 AX55:BA55 BC55:BG55 BI55:BL55 BN55:BQ55 BX55:BZ55 CB55:CE55 CG55:CJ55 CL55:CO55 CQ55:CT55 U56:AO56 AS56:BK56 BM56:CA56 D40:CY40 R21:S27 D11:Q27 D35:CY38 D28:CY28 AR21:BJ27 N33:P33 R33:CY33">
      <formula1>0</formula1>
    </dataValidation>
    <dataValidation operator="greaterThanOrEqual" allowBlank="1" showInputMessage="1" showErrorMessage="1" sqref="E50:S50 D41:CY43 D54:CY54"/>
  </dataValidations>
  <pageMargins left="0.75" right="0.75" top="1" bottom="1" header="0.5" footer="0.5"/>
  <pageSetup paperSize="8" orientation="landscape" verticalDpi="9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2"/>
  <sheetViews>
    <sheetView zoomScaleNormal="100" workbookViewId="0"/>
  </sheetViews>
  <sheetFormatPr defaultRowHeight="12.75" x14ac:dyDescent="0.2"/>
  <cols>
    <col min="1" max="1" width="2" customWidth="1"/>
    <col min="2" max="2" width="14.875" customWidth="1"/>
    <col min="3" max="3" width="19.125" customWidth="1"/>
    <col min="4" max="4" width="19.25" customWidth="1"/>
    <col min="5" max="5" width="19.625" customWidth="1"/>
    <col min="6" max="6" width="18" customWidth="1"/>
    <col min="7" max="7" width="15.25" customWidth="1"/>
    <col min="8" max="8" width="12.875" customWidth="1"/>
    <col min="9" max="9" width="14.5" customWidth="1"/>
  </cols>
  <sheetData>
    <row r="1" spans="1:9" x14ac:dyDescent="0.2">
      <c r="A1" s="144"/>
      <c r="B1" s="176"/>
      <c r="C1" s="176"/>
      <c r="D1" s="176"/>
      <c r="E1" s="176"/>
      <c r="F1" s="176"/>
      <c r="G1" s="176"/>
      <c r="H1" s="176"/>
      <c r="I1" s="139"/>
    </row>
    <row r="2" spans="1:9" ht="19.5" x14ac:dyDescent="0.25">
      <c r="A2" s="143"/>
      <c r="B2" s="346" t="s">
        <v>557</v>
      </c>
      <c r="C2" s="138"/>
      <c r="D2" s="138"/>
      <c r="E2" s="138"/>
      <c r="F2" s="138"/>
      <c r="G2" s="138"/>
      <c r="H2" s="138"/>
      <c r="I2" s="140"/>
    </row>
    <row r="3" spans="1:9" ht="13.5" thickBot="1" x14ac:dyDescent="0.25">
      <c r="A3" s="143"/>
      <c r="B3" s="138"/>
      <c r="C3" s="138"/>
      <c r="D3" s="138"/>
      <c r="E3" s="138"/>
      <c r="F3" s="138"/>
      <c r="G3" s="138"/>
      <c r="H3" s="138"/>
      <c r="I3" s="140"/>
    </row>
    <row r="4" spans="1:9" ht="15" x14ac:dyDescent="0.2">
      <c r="A4" s="143"/>
      <c r="B4" s="1067" t="s">
        <v>85</v>
      </c>
      <c r="C4" s="1068"/>
      <c r="D4" s="1068"/>
      <c r="E4" s="347" t="s">
        <v>407</v>
      </c>
      <c r="F4" s="348" t="s">
        <v>210</v>
      </c>
      <c r="G4" s="357"/>
      <c r="H4" s="357"/>
      <c r="I4" s="140"/>
    </row>
    <row r="5" spans="1:9" ht="15" x14ac:dyDescent="0.2">
      <c r="A5" s="143"/>
      <c r="B5" s="682" t="s">
        <v>86</v>
      </c>
      <c r="C5" s="349"/>
      <c r="D5" s="349"/>
      <c r="E5" s="350" t="e">
        <f ca="1">Cashflow!C94</f>
        <v>#REF!</v>
      </c>
      <c r="F5" s="351" t="e">
        <f ca="1">E5/'Data Entry'!B9</f>
        <v>#REF!</v>
      </c>
      <c r="G5" s="357"/>
      <c r="H5" s="357"/>
      <c r="I5" s="140"/>
    </row>
    <row r="6" spans="1:9" ht="15" x14ac:dyDescent="0.2">
      <c r="A6" s="143"/>
      <c r="B6" s="682" t="s">
        <v>87</v>
      </c>
      <c r="C6" s="349"/>
      <c r="D6" s="349"/>
      <c r="E6" s="350" t="e">
        <f ca="1">Cashflow!C95</f>
        <v>#REF!</v>
      </c>
      <c r="F6" s="351" t="e">
        <f ca="1">E6/'Data Entry'!B9</f>
        <v>#REF!</v>
      </c>
      <c r="G6" s="314"/>
      <c r="H6" s="314"/>
      <c r="I6" s="140"/>
    </row>
    <row r="7" spans="1:9" ht="15.75" thickBot="1" x14ac:dyDescent="0.25">
      <c r="A7" s="143"/>
      <c r="B7" s="683" t="s">
        <v>586</v>
      </c>
      <c r="C7" s="352"/>
      <c r="D7" s="352"/>
      <c r="E7" s="353">
        <f>Cashflow!C101</f>
        <v>0</v>
      </c>
      <c r="F7" s="354" t="e">
        <f>E7/'Data Entry'!B10</f>
        <v>#DIV/0!</v>
      </c>
      <c r="G7" s="314"/>
      <c r="H7" s="314"/>
      <c r="I7" s="140"/>
    </row>
    <row r="8" spans="1:9" ht="15.75" thickBot="1" x14ac:dyDescent="0.25">
      <c r="A8" s="143"/>
      <c r="B8" s="684" t="s">
        <v>198</v>
      </c>
      <c r="C8" s="355"/>
      <c r="D8" s="355"/>
      <c r="E8" s="356" t="e">
        <f ca="1">IF(OR(E6&lt;0,E6&lt;0.95*E7),"PASS",IF(AND(E6&gt;=0.95*E7,E6&lt;E7),"Marginal Pass","FAIL"))</f>
        <v>#REF!</v>
      </c>
      <c r="F8" s="313"/>
      <c r="G8" s="314"/>
      <c r="H8" s="314"/>
      <c r="I8" s="140"/>
    </row>
    <row r="9" spans="1:9" ht="15" x14ac:dyDescent="0.2">
      <c r="A9" s="143"/>
      <c r="B9" s="357"/>
      <c r="C9" s="357"/>
      <c r="D9" s="357"/>
      <c r="E9" s="357"/>
      <c r="F9" s="357"/>
      <c r="G9" s="314"/>
      <c r="H9" s="314"/>
      <c r="I9" s="140"/>
    </row>
    <row r="10" spans="1:9" ht="19.5" x14ac:dyDescent="0.25">
      <c r="A10" s="143"/>
      <c r="B10" s="346" t="s">
        <v>360</v>
      </c>
      <c r="C10" s="138"/>
      <c r="D10" s="138"/>
      <c r="E10" s="138"/>
      <c r="F10" s="138"/>
      <c r="G10" s="138"/>
      <c r="H10" s="138"/>
      <c r="I10" s="140"/>
    </row>
    <row r="11" spans="1:9" ht="13.5" thickBot="1" x14ac:dyDescent="0.25">
      <c r="A11" s="143"/>
      <c r="B11" s="138"/>
      <c r="C11" s="138"/>
      <c r="D11" s="138"/>
      <c r="E11" s="138"/>
      <c r="F11" s="138"/>
      <c r="G11" s="138"/>
      <c r="H11" s="138"/>
      <c r="I11" s="140"/>
    </row>
    <row r="12" spans="1:9" ht="15" x14ac:dyDescent="0.2">
      <c r="A12" s="143"/>
      <c r="B12" s="1072" t="s">
        <v>558</v>
      </c>
      <c r="C12" s="1069" t="s">
        <v>84</v>
      </c>
      <c r="D12" s="1070"/>
      <c r="E12" s="1070"/>
      <c r="F12" s="1070"/>
      <c r="G12" s="1070"/>
      <c r="H12" s="1071"/>
      <c r="I12" s="140"/>
    </row>
    <row r="13" spans="1:9" ht="15" x14ac:dyDescent="0.2">
      <c r="A13" s="143"/>
      <c r="B13" s="1073"/>
      <c r="C13" s="961" t="s">
        <v>7</v>
      </c>
      <c r="D13" s="962" t="s">
        <v>75</v>
      </c>
      <c r="E13" s="963" t="s">
        <v>76</v>
      </c>
      <c r="F13" s="964" t="s">
        <v>77</v>
      </c>
      <c r="G13" s="965" t="s">
        <v>19</v>
      </c>
      <c r="H13" s="966" t="s">
        <v>12</v>
      </c>
      <c r="I13" s="140"/>
    </row>
    <row r="14" spans="1:9" ht="15.75" thickBot="1" x14ac:dyDescent="0.25">
      <c r="A14" s="143"/>
      <c r="B14" s="967" t="e">
        <f ca="1">Cashflow!C91/Cashflow!C79</f>
        <v>#REF!</v>
      </c>
      <c r="C14" s="968" t="e">
        <f ca="1">Cashflow!C83/Cashflow!C$91</f>
        <v>#DIV/0!</v>
      </c>
      <c r="D14" s="969" t="e">
        <f ca="1">Cashflow!C82/Cashflow!C$91</f>
        <v>#DIV/0!</v>
      </c>
      <c r="E14" s="970" t="e">
        <f ca="1">(Cashflow!C84+Cashflow!C85+Cashflow!C86)/Cashflow!C$91</f>
        <v>#DIV/0!</v>
      </c>
      <c r="F14" s="971" t="e">
        <f ca="1">Cashflow!C87/Cashflow!C$91</f>
        <v>#DIV/0!</v>
      </c>
      <c r="G14" s="972" t="e">
        <f ca="1">(Cashflow!C88+Cashflow!C89+Cashflow!C90)/Cashflow!C$91</f>
        <v>#DIV/0!</v>
      </c>
      <c r="H14" s="973" t="e">
        <f ca="1">SUM(C14:G14)</f>
        <v>#DIV/0!</v>
      </c>
      <c r="I14" s="140"/>
    </row>
    <row r="15" spans="1:9" x14ac:dyDescent="0.2">
      <c r="A15" s="143"/>
      <c r="B15" s="138"/>
      <c r="C15" s="138"/>
      <c r="D15" s="138"/>
      <c r="E15" s="138"/>
      <c r="F15" s="138"/>
      <c r="G15" s="975"/>
      <c r="H15" s="975"/>
      <c r="I15" s="140"/>
    </row>
    <row r="16" spans="1:9" x14ac:dyDescent="0.2">
      <c r="A16" s="143"/>
      <c r="B16" s="138"/>
      <c r="C16" s="138"/>
      <c r="D16" s="138"/>
      <c r="E16" s="138"/>
      <c r="F16" s="138"/>
      <c r="G16" s="138"/>
      <c r="H16" s="138"/>
      <c r="I16" s="140"/>
    </row>
    <row r="17" spans="1:10" x14ac:dyDescent="0.2">
      <c r="A17" s="143"/>
      <c r="B17" s="138"/>
      <c r="C17" s="138"/>
      <c r="D17" s="138"/>
      <c r="E17" s="138"/>
      <c r="F17" s="138"/>
      <c r="G17" s="138"/>
      <c r="H17" s="138"/>
      <c r="I17" s="140"/>
    </row>
    <row r="18" spans="1:10" x14ac:dyDescent="0.2">
      <c r="A18" s="143"/>
      <c r="B18" s="138"/>
      <c r="C18" s="138"/>
      <c r="D18" s="138"/>
      <c r="E18" s="138"/>
      <c r="F18" s="165" t="s">
        <v>553</v>
      </c>
      <c r="G18" s="138"/>
      <c r="H18" s="138"/>
      <c r="I18" s="140"/>
      <c r="J18" s="138"/>
    </row>
    <row r="19" spans="1:10" x14ac:dyDescent="0.2">
      <c r="A19" s="143"/>
      <c r="B19" s="138"/>
      <c r="C19" s="138"/>
      <c r="D19" s="138"/>
      <c r="E19" s="138"/>
      <c r="F19" s="165" t="s">
        <v>361</v>
      </c>
      <c r="G19" s="138"/>
      <c r="H19" s="138"/>
      <c r="I19" s="140"/>
      <c r="J19" s="138"/>
    </row>
    <row r="20" spans="1:10" x14ac:dyDescent="0.2">
      <c r="A20" s="143"/>
      <c r="B20" s="138"/>
      <c r="C20" s="138"/>
      <c r="D20" s="138"/>
      <c r="E20" s="138"/>
      <c r="F20" s="165" t="s">
        <v>209</v>
      </c>
      <c r="G20" s="138"/>
      <c r="H20" s="138"/>
      <c r="I20" s="140"/>
      <c r="J20" s="138"/>
    </row>
    <row r="21" spans="1:10" ht="53.25" customHeight="1" x14ac:dyDescent="0.2">
      <c r="A21" s="143"/>
      <c r="B21" s="138"/>
      <c r="C21" s="138"/>
      <c r="D21" s="138"/>
      <c r="E21" s="138"/>
      <c r="F21" s="1074" t="s">
        <v>554</v>
      </c>
      <c r="G21" s="1075"/>
      <c r="H21" s="1075"/>
      <c r="I21" s="1076"/>
      <c r="J21" s="974"/>
    </row>
    <row r="22" spans="1:10" x14ac:dyDescent="0.2">
      <c r="A22" s="143"/>
      <c r="B22" s="138"/>
      <c r="C22" s="138"/>
      <c r="D22" s="138"/>
      <c r="E22" s="138"/>
      <c r="F22" s="165" t="s">
        <v>556</v>
      </c>
      <c r="G22" s="974"/>
      <c r="H22" s="974"/>
      <c r="I22" s="404"/>
      <c r="J22" s="974"/>
    </row>
    <row r="23" spans="1:10" x14ac:dyDescent="0.2">
      <c r="A23" s="143"/>
      <c r="B23" s="138"/>
      <c r="C23" s="138"/>
      <c r="D23" s="138"/>
      <c r="E23" s="138"/>
      <c r="F23" s="976"/>
      <c r="G23" s="976"/>
      <c r="H23" s="976"/>
      <c r="I23" s="977"/>
      <c r="J23" s="976"/>
    </row>
    <row r="24" spans="1:10" x14ac:dyDescent="0.2">
      <c r="A24" s="143"/>
      <c r="B24" s="138"/>
      <c r="C24" s="138"/>
      <c r="D24" s="138"/>
      <c r="E24" s="138"/>
      <c r="F24" s="138"/>
      <c r="G24" s="138"/>
      <c r="H24" s="138"/>
      <c r="I24" s="140"/>
      <c r="J24" s="138"/>
    </row>
    <row r="25" spans="1:10" x14ac:dyDescent="0.2">
      <c r="A25" s="143"/>
      <c r="B25" s="138"/>
      <c r="C25" s="138"/>
      <c r="D25" s="138"/>
      <c r="E25" s="138"/>
      <c r="F25" s="138"/>
      <c r="G25" s="138"/>
      <c r="H25" s="138"/>
      <c r="I25" s="140"/>
    </row>
    <row r="26" spans="1:10" x14ac:dyDescent="0.2">
      <c r="A26" s="143"/>
      <c r="B26" s="138"/>
      <c r="C26" s="138"/>
      <c r="D26" s="138"/>
      <c r="E26" s="138"/>
      <c r="F26" s="138"/>
      <c r="G26" s="138"/>
      <c r="H26" s="138"/>
      <c r="I26" s="140"/>
    </row>
    <row r="27" spans="1:10" x14ac:dyDescent="0.2">
      <c r="A27" s="143"/>
      <c r="B27" s="138"/>
      <c r="C27" s="138"/>
      <c r="D27" s="138"/>
      <c r="E27" s="345"/>
      <c r="F27" s="138"/>
      <c r="G27" s="138"/>
      <c r="H27" s="138"/>
      <c r="I27" s="140"/>
    </row>
    <row r="28" spans="1:10" x14ac:dyDescent="0.2">
      <c r="A28" s="143"/>
      <c r="B28" s="138"/>
      <c r="C28" s="138"/>
      <c r="D28" s="138"/>
      <c r="E28" s="138"/>
      <c r="F28" s="138"/>
      <c r="G28" s="138"/>
      <c r="H28" s="138"/>
      <c r="I28" s="140"/>
    </row>
    <row r="29" spans="1:10" x14ac:dyDescent="0.2">
      <c r="A29" s="143"/>
      <c r="B29" s="138"/>
      <c r="C29" s="138"/>
      <c r="D29" s="138"/>
      <c r="E29" s="138"/>
      <c r="F29" s="138"/>
      <c r="G29" s="138"/>
      <c r="H29" s="138"/>
      <c r="I29" s="140"/>
    </row>
    <row r="30" spans="1:10" x14ac:dyDescent="0.2">
      <c r="A30" s="143"/>
      <c r="B30" s="138"/>
      <c r="C30" s="138"/>
      <c r="D30" s="138"/>
      <c r="E30" s="138"/>
      <c r="F30" s="138"/>
      <c r="G30" s="138"/>
      <c r="H30" s="138"/>
      <c r="I30" s="140"/>
    </row>
    <row r="31" spans="1:10" x14ac:dyDescent="0.2">
      <c r="A31" s="143"/>
      <c r="B31" s="138"/>
      <c r="C31" s="138"/>
      <c r="D31" s="138"/>
      <c r="E31" s="138"/>
      <c r="F31" s="138"/>
      <c r="G31" s="138"/>
      <c r="H31" s="138"/>
      <c r="I31" s="140"/>
    </row>
    <row r="32" spans="1:10" x14ac:dyDescent="0.2">
      <c r="A32" s="143"/>
      <c r="B32" s="138"/>
      <c r="C32" s="138"/>
      <c r="D32" s="138"/>
      <c r="E32" s="138"/>
      <c r="F32" s="138"/>
      <c r="G32" s="138"/>
      <c r="H32" s="138"/>
      <c r="I32" s="140"/>
    </row>
    <row r="33" spans="1:9" x14ac:dyDescent="0.2">
      <c r="A33" s="143"/>
      <c r="B33" s="138"/>
      <c r="C33" s="138"/>
      <c r="D33" s="138"/>
      <c r="E33" s="138"/>
      <c r="F33" s="138"/>
      <c r="G33" s="138"/>
      <c r="H33" s="138"/>
      <c r="I33" s="140"/>
    </row>
    <row r="34" spans="1:9" ht="12.75" customHeight="1" x14ac:dyDescent="0.2">
      <c r="A34" s="143"/>
      <c r="B34" s="138"/>
      <c r="C34" s="138"/>
      <c r="D34" s="138"/>
      <c r="E34" s="138"/>
      <c r="F34" s="138"/>
      <c r="G34" s="138"/>
      <c r="H34" s="138"/>
      <c r="I34" s="140"/>
    </row>
    <row r="35" spans="1:9" x14ac:dyDescent="0.2">
      <c r="A35" s="143"/>
      <c r="G35" s="138"/>
      <c r="H35" s="138"/>
      <c r="I35" s="140"/>
    </row>
    <row r="36" spans="1:9" x14ac:dyDescent="0.2">
      <c r="A36" s="143"/>
      <c r="G36" s="138"/>
      <c r="H36" s="138"/>
      <c r="I36" s="140"/>
    </row>
    <row r="37" spans="1:9" x14ac:dyDescent="0.2">
      <c r="A37" s="143"/>
      <c r="G37" s="138"/>
      <c r="H37" s="138"/>
      <c r="I37" s="140"/>
    </row>
    <row r="38" spans="1:9" x14ac:dyDescent="0.2">
      <c r="A38" s="143"/>
      <c r="G38" s="138"/>
      <c r="H38" s="138"/>
      <c r="I38" s="140"/>
    </row>
    <row r="39" spans="1:9" x14ac:dyDescent="0.2">
      <c r="A39" s="143"/>
      <c r="G39" s="138"/>
      <c r="H39" s="138"/>
      <c r="I39" s="140"/>
    </row>
    <row r="40" spans="1:9" x14ac:dyDescent="0.2">
      <c r="A40" s="143"/>
      <c r="G40" s="138"/>
      <c r="H40" s="138"/>
      <c r="I40" s="140"/>
    </row>
    <row r="41" spans="1:9" x14ac:dyDescent="0.2">
      <c r="A41" s="143"/>
      <c r="G41" s="138"/>
      <c r="H41" s="138"/>
      <c r="I41" s="140"/>
    </row>
    <row r="42" spans="1:9" s="984" customFormat="1" ht="24" customHeight="1" x14ac:dyDescent="0.2">
      <c r="A42" s="978"/>
      <c r="B42" s="979" t="s">
        <v>555</v>
      </c>
      <c r="C42" s="980"/>
      <c r="D42" s="980"/>
      <c r="E42" s="980"/>
      <c r="F42" s="981"/>
      <c r="G42" s="982"/>
      <c r="H42" s="982"/>
      <c r="I42" s="983"/>
    </row>
  </sheetData>
  <sheetProtection algorithmName="SHA-512" hashValue="uWF+ScmBcEsbi5tNHtjnGRzIhWmdidFRBiW7fqk9RqHqx5Kt7pCMsodR3qRzfAAab99pw/VkTG16s1NT4kbISg==" saltValue="m4Npv6GSa/vobA32wPbMaQ==" spinCount="100000" sheet="1" objects="1" scenarios="1"/>
  <mergeCells count="4">
    <mergeCell ref="B4:D4"/>
    <mergeCell ref="C12:H12"/>
    <mergeCell ref="B12:B13"/>
    <mergeCell ref="F21:I21"/>
  </mergeCells>
  <conditionalFormatting sqref="E8">
    <cfRule type="expression" dxfId="2" priority="59" stopIfTrue="1">
      <formula>AND(E6&gt;=0.95*E7,E6&lt;E7)</formula>
    </cfRule>
    <cfRule type="expression" dxfId="1" priority="60" stopIfTrue="1">
      <formula>E8="FAIL"</formula>
    </cfRule>
    <cfRule type="expression" dxfId="0" priority="61" stopIfTrue="1">
      <formula>E8="PASS"</formula>
    </cfRule>
  </conditionalFormatting>
  <pageMargins left="0.7" right="0.7" top="0.75" bottom="0.75" header="0.3" footer="0.3"/>
  <pageSetup paperSize="9" orientation="portrait" horizontalDpi="90" verticalDpi="9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65"/>
  <sheetViews>
    <sheetView zoomScaleNormal="100" workbookViewId="0"/>
  </sheetViews>
  <sheetFormatPr defaultColWidth="9" defaultRowHeight="12.75" x14ac:dyDescent="0.2"/>
  <cols>
    <col min="1" max="1" width="27.375" style="29" customWidth="1"/>
    <col min="2" max="2" width="38.125" style="6" customWidth="1"/>
    <col min="3" max="3" width="23.875" style="591" customWidth="1"/>
    <col min="4" max="4" width="21.25" style="6" customWidth="1"/>
    <col min="5" max="5" width="27" style="479" customWidth="1"/>
    <col min="6" max="6" width="77.375" style="480" customWidth="1"/>
    <col min="7" max="7" width="19.875" style="6" customWidth="1"/>
    <col min="8" max="8" width="9.625" style="6" customWidth="1"/>
    <col min="9" max="16384" width="9" style="6"/>
  </cols>
  <sheetData>
    <row r="1" spans="1:7" ht="19.5" x14ac:dyDescent="0.25">
      <c r="A1" s="475" t="s">
        <v>364</v>
      </c>
      <c r="B1" s="476"/>
      <c r="C1" s="477"/>
      <c r="D1" s="478"/>
    </row>
    <row r="2" spans="1:7" ht="21.75" customHeight="1" thickBot="1" x14ac:dyDescent="0.25">
      <c r="A2" s="481" t="s">
        <v>245</v>
      </c>
      <c r="B2" s="482" t="s">
        <v>260</v>
      </c>
      <c r="C2" s="483" t="s">
        <v>120</v>
      </c>
      <c r="D2" s="484" t="s">
        <v>126</v>
      </c>
      <c r="E2" s="485" t="s">
        <v>3</v>
      </c>
      <c r="F2" s="485" t="s">
        <v>387</v>
      </c>
    </row>
    <row r="3" spans="1:7" ht="39.75" thickTop="1" thickBot="1" x14ac:dyDescent="0.25">
      <c r="A3" s="486" t="s">
        <v>397</v>
      </c>
      <c r="B3" s="487" t="s">
        <v>395</v>
      </c>
      <c r="C3" s="488" t="s">
        <v>389</v>
      </c>
      <c r="D3" s="489"/>
      <c r="E3" s="490">
        <v>1</v>
      </c>
      <c r="F3" s="491" t="s">
        <v>390</v>
      </c>
    </row>
    <row r="4" spans="1:7" ht="13.5" thickTop="1" x14ac:dyDescent="0.2">
      <c r="A4" s="492" t="s">
        <v>354</v>
      </c>
      <c r="B4" s="493" t="s">
        <v>497</v>
      </c>
      <c r="C4" s="494">
        <v>260</v>
      </c>
      <c r="D4" s="495" t="s">
        <v>128</v>
      </c>
      <c r="E4" s="496">
        <v>1</v>
      </c>
      <c r="F4" s="497" t="s">
        <v>532</v>
      </c>
    </row>
    <row r="5" spans="1:7" x14ac:dyDescent="0.2">
      <c r="A5" s="498"/>
      <c r="B5" s="499" t="s">
        <v>129</v>
      </c>
      <c r="C5" s="500">
        <f>225/80*100</f>
        <v>281.25</v>
      </c>
      <c r="D5" s="501" t="s">
        <v>128</v>
      </c>
      <c r="E5" s="502">
        <v>1</v>
      </c>
      <c r="F5" s="503" t="s">
        <v>533</v>
      </c>
    </row>
    <row r="6" spans="1:7" ht="13.5" thickBot="1" x14ac:dyDescent="0.25">
      <c r="A6" s="504"/>
      <c r="B6" s="505" t="s">
        <v>130</v>
      </c>
      <c r="C6" s="506">
        <f>C5</f>
        <v>281.25</v>
      </c>
      <c r="D6" s="507" t="s">
        <v>128</v>
      </c>
      <c r="E6" s="508">
        <v>1</v>
      </c>
      <c r="F6" s="509" t="s">
        <v>534</v>
      </c>
    </row>
    <row r="7" spans="1:7" ht="13.5" thickTop="1" x14ac:dyDescent="0.2">
      <c r="A7" s="510" t="s">
        <v>258</v>
      </c>
      <c r="B7" s="511" t="s">
        <v>267</v>
      </c>
      <c r="C7" s="512">
        <v>0</v>
      </c>
      <c r="D7" s="513" t="s">
        <v>128</v>
      </c>
      <c r="E7" s="514">
        <v>1</v>
      </c>
      <c r="F7" s="515"/>
    </row>
    <row r="8" spans="1:7" x14ac:dyDescent="0.2">
      <c r="A8" s="498"/>
      <c r="B8" s="516" t="s">
        <v>225</v>
      </c>
      <c r="C8" s="517">
        <v>121.85</v>
      </c>
      <c r="D8" s="501" t="s">
        <v>128</v>
      </c>
      <c r="E8" s="518">
        <v>1</v>
      </c>
      <c r="F8" s="503" t="s">
        <v>373</v>
      </c>
      <c r="G8" s="519"/>
    </row>
    <row r="9" spans="1:7" ht="25.5" x14ac:dyDescent="0.2">
      <c r="A9" s="498"/>
      <c r="B9" s="516" t="s">
        <v>226</v>
      </c>
      <c r="C9" s="439">
        <v>200</v>
      </c>
      <c r="D9" s="501" t="s">
        <v>128</v>
      </c>
      <c r="E9" s="502">
        <v>1</v>
      </c>
      <c r="F9" s="503" t="s">
        <v>374</v>
      </c>
      <c r="G9" s="519"/>
    </row>
    <row r="10" spans="1:7" x14ac:dyDescent="0.2">
      <c r="A10" s="498"/>
      <c r="B10" s="516" t="s">
        <v>227</v>
      </c>
      <c r="C10" s="439">
        <f>0.2*2500</f>
        <v>500</v>
      </c>
      <c r="D10" s="520" t="s">
        <v>128</v>
      </c>
      <c r="E10" s="521" t="s">
        <v>265</v>
      </c>
      <c r="F10" s="503" t="s">
        <v>406</v>
      </c>
      <c r="G10" s="522"/>
    </row>
    <row r="11" spans="1:7" ht="13.5" customHeight="1" x14ac:dyDescent="0.2">
      <c r="A11" s="498"/>
      <c r="B11" s="516" t="s">
        <v>228</v>
      </c>
      <c r="C11" s="439">
        <v>300</v>
      </c>
      <c r="D11" s="520" t="s">
        <v>128</v>
      </c>
      <c r="E11" s="523">
        <v>1</v>
      </c>
      <c r="F11" s="503" t="s">
        <v>386</v>
      </c>
      <c r="G11" s="519"/>
    </row>
    <row r="12" spans="1:7" ht="13.5" customHeight="1" thickBot="1" x14ac:dyDescent="0.25">
      <c r="A12" s="504"/>
      <c r="B12" s="524" t="s">
        <v>229</v>
      </c>
      <c r="C12" s="525">
        <f>1*150</f>
        <v>150</v>
      </c>
      <c r="D12" s="507" t="s">
        <v>128</v>
      </c>
      <c r="E12" s="526">
        <v>1</v>
      </c>
      <c r="F12" s="509" t="s">
        <v>413</v>
      </c>
      <c r="G12" s="519"/>
    </row>
    <row r="13" spans="1:7" ht="13.5" thickTop="1" x14ac:dyDescent="0.2">
      <c r="A13" s="492" t="s">
        <v>182</v>
      </c>
      <c r="B13" s="527" t="s">
        <v>160</v>
      </c>
      <c r="C13" s="494">
        <v>0.35</v>
      </c>
      <c r="D13" s="528" t="s">
        <v>127</v>
      </c>
      <c r="E13" s="529" t="s">
        <v>203</v>
      </c>
      <c r="F13" s="497" t="s">
        <v>379</v>
      </c>
    </row>
    <row r="14" spans="1:7" x14ac:dyDescent="0.2">
      <c r="A14" s="498"/>
      <c r="B14" s="516" t="s">
        <v>165</v>
      </c>
      <c r="C14" s="500">
        <v>0.35</v>
      </c>
      <c r="D14" s="520" t="s">
        <v>127</v>
      </c>
      <c r="E14" s="521" t="s">
        <v>204</v>
      </c>
      <c r="F14" s="503" t="s">
        <v>379</v>
      </c>
    </row>
    <row r="15" spans="1:7" x14ac:dyDescent="0.2">
      <c r="A15" s="498"/>
      <c r="B15" s="516" t="s">
        <v>261</v>
      </c>
      <c r="C15" s="500">
        <v>0.5</v>
      </c>
      <c r="D15" s="520" t="s">
        <v>127</v>
      </c>
      <c r="E15" s="521">
        <v>1</v>
      </c>
      <c r="F15" s="503" t="s">
        <v>379</v>
      </c>
    </row>
    <row r="16" spans="1:7" x14ac:dyDescent="0.2">
      <c r="A16" s="498" t="s">
        <v>259</v>
      </c>
      <c r="B16" s="516" t="s">
        <v>160</v>
      </c>
      <c r="C16" s="530">
        <v>0.25</v>
      </c>
      <c r="D16" s="520" t="s">
        <v>127</v>
      </c>
      <c r="E16" s="521" t="s">
        <v>203</v>
      </c>
      <c r="F16" s="503" t="s">
        <v>379</v>
      </c>
    </row>
    <row r="17" spans="1:10" x14ac:dyDescent="0.2">
      <c r="A17" s="498"/>
      <c r="B17" s="516" t="s">
        <v>165</v>
      </c>
      <c r="C17" s="530">
        <v>0.25</v>
      </c>
      <c r="D17" s="520" t="s">
        <v>127</v>
      </c>
      <c r="E17" s="521" t="s">
        <v>204</v>
      </c>
      <c r="F17" s="503" t="s">
        <v>379</v>
      </c>
    </row>
    <row r="18" spans="1:10" ht="13.5" thickBot="1" x14ac:dyDescent="0.25">
      <c r="A18" s="504"/>
      <c r="B18" s="524" t="s">
        <v>261</v>
      </c>
      <c r="C18" s="531">
        <v>0.4</v>
      </c>
      <c r="D18" s="532" t="s">
        <v>127</v>
      </c>
      <c r="E18" s="533" t="s">
        <v>257</v>
      </c>
      <c r="F18" s="534" t="s">
        <v>379</v>
      </c>
    </row>
    <row r="19" spans="1:10" ht="27" thickTop="1" thickBot="1" x14ac:dyDescent="0.25">
      <c r="A19" s="535"/>
      <c r="B19" s="536" t="s">
        <v>140</v>
      </c>
      <c r="C19" s="439">
        <v>7.0000000000000007E-2</v>
      </c>
      <c r="D19" s="501" t="s">
        <v>388</v>
      </c>
      <c r="E19" s="502">
        <v>1</v>
      </c>
      <c r="F19" s="487" t="s">
        <v>559</v>
      </c>
      <c r="G19" s="537"/>
      <c r="H19" s="537"/>
      <c r="I19" s="537"/>
      <c r="J19" s="478"/>
    </row>
    <row r="20" spans="1:10" ht="15.6" customHeight="1" thickTop="1" x14ac:dyDescent="0.2">
      <c r="A20" s="492" t="s">
        <v>381</v>
      </c>
      <c r="B20" s="527" t="s">
        <v>352</v>
      </c>
      <c r="C20" s="494">
        <v>2</v>
      </c>
      <c r="D20" s="946" t="s">
        <v>486</v>
      </c>
      <c r="E20" s="529" t="s">
        <v>257</v>
      </c>
      <c r="F20" s="538" t="s">
        <v>353</v>
      </c>
    </row>
    <row r="21" spans="1:10" x14ac:dyDescent="0.2">
      <c r="A21" s="498"/>
      <c r="B21" s="516" t="s">
        <v>485</v>
      </c>
      <c r="C21" s="500">
        <v>1</v>
      </c>
      <c r="D21" s="520" t="s">
        <v>486</v>
      </c>
      <c r="E21" s="521" t="s">
        <v>256</v>
      </c>
      <c r="F21" s="503" t="s">
        <v>535</v>
      </c>
      <c r="G21" s="295"/>
    </row>
    <row r="22" spans="1:10" x14ac:dyDescent="0.2">
      <c r="A22" s="498"/>
      <c r="B22" s="516" t="s">
        <v>351</v>
      </c>
      <c r="C22" s="500">
        <f>0.19/80*100</f>
        <v>0.23749999999999999</v>
      </c>
      <c r="D22" s="542" t="s">
        <v>487</v>
      </c>
      <c r="E22" s="521">
        <v>1</v>
      </c>
      <c r="F22" s="503" t="s">
        <v>536</v>
      </c>
    </row>
    <row r="23" spans="1:10" x14ac:dyDescent="0.2">
      <c r="A23" s="498"/>
      <c r="B23" s="536" t="s">
        <v>136</v>
      </c>
      <c r="C23" s="439">
        <v>15</v>
      </c>
      <c r="D23" s="501" t="s">
        <v>128</v>
      </c>
      <c r="E23" s="518" t="s">
        <v>448</v>
      </c>
      <c r="F23" s="503" t="s">
        <v>454</v>
      </c>
    </row>
    <row r="24" spans="1:10" ht="13.5" thickBot="1" x14ac:dyDescent="0.25">
      <c r="A24" s="504"/>
      <c r="B24" s="539" t="s">
        <v>378</v>
      </c>
      <c r="C24" s="525">
        <v>100</v>
      </c>
      <c r="D24" s="507" t="s">
        <v>128</v>
      </c>
      <c r="E24" s="508">
        <v>15</v>
      </c>
      <c r="F24" s="509" t="s">
        <v>537</v>
      </c>
    </row>
    <row r="25" spans="1:10" ht="26.25" thickTop="1" x14ac:dyDescent="0.2">
      <c r="A25" s="498" t="s">
        <v>262</v>
      </c>
      <c r="B25" s="540" t="s">
        <v>11</v>
      </c>
      <c r="C25" s="541">
        <v>200</v>
      </c>
      <c r="D25" s="542" t="s">
        <v>128</v>
      </c>
      <c r="E25" s="543" t="s">
        <v>254</v>
      </c>
      <c r="F25" s="544" t="s">
        <v>375</v>
      </c>
    </row>
    <row r="26" spans="1:10" ht="55.5" customHeight="1" thickBot="1" x14ac:dyDescent="0.25">
      <c r="A26" s="498"/>
      <c r="B26" s="545" t="s">
        <v>211</v>
      </c>
      <c r="C26" s="546" t="s">
        <v>253</v>
      </c>
      <c r="D26" s="547" t="s">
        <v>127</v>
      </c>
      <c r="E26" s="548" t="s">
        <v>255</v>
      </c>
      <c r="F26" s="549" t="s">
        <v>376</v>
      </c>
    </row>
    <row r="27" spans="1:10" ht="15" customHeight="1" thickTop="1" x14ac:dyDescent="0.2">
      <c r="A27" s="492" t="s">
        <v>263</v>
      </c>
      <c r="B27" s="527" t="s">
        <v>125</v>
      </c>
      <c r="C27" s="494">
        <v>7</v>
      </c>
      <c r="D27" s="528" t="s">
        <v>154</v>
      </c>
      <c r="E27" s="550">
        <v>1</v>
      </c>
      <c r="F27" s="551" t="s">
        <v>353</v>
      </c>
      <c r="G27" s="537"/>
    </row>
    <row r="28" spans="1:10" ht="25.5" x14ac:dyDescent="0.2">
      <c r="A28" s="498"/>
      <c r="B28" s="552" t="s">
        <v>417</v>
      </c>
      <c r="C28" s="541">
        <v>20</v>
      </c>
      <c r="D28" s="542" t="s">
        <v>154</v>
      </c>
      <c r="E28" s="553">
        <v>1</v>
      </c>
      <c r="F28" s="554" t="s">
        <v>538</v>
      </c>
      <c r="G28" s="537"/>
    </row>
    <row r="29" spans="1:10" ht="25.5" x14ac:dyDescent="0.2">
      <c r="A29" s="498"/>
      <c r="B29" s="555" t="s">
        <v>418</v>
      </c>
      <c r="C29" s="439">
        <v>15</v>
      </c>
      <c r="D29" s="520" t="s">
        <v>154</v>
      </c>
      <c r="E29" s="523">
        <v>1</v>
      </c>
      <c r="F29" s="503" t="s">
        <v>539</v>
      </c>
      <c r="G29" s="322"/>
    </row>
    <row r="30" spans="1:10" x14ac:dyDescent="0.2">
      <c r="A30" s="498"/>
      <c r="B30" s="516" t="s">
        <v>123</v>
      </c>
      <c r="C30" s="500">
        <v>3.12</v>
      </c>
      <c r="D30" s="520" t="s">
        <v>154</v>
      </c>
      <c r="E30" s="523">
        <v>1</v>
      </c>
      <c r="F30" s="503" t="s">
        <v>353</v>
      </c>
    </row>
    <row r="31" spans="1:10" x14ac:dyDescent="0.2">
      <c r="A31" s="498"/>
      <c r="B31" s="516" t="s">
        <v>371</v>
      </c>
      <c r="C31" s="439">
        <v>563</v>
      </c>
      <c r="D31" s="520" t="s">
        <v>484</v>
      </c>
      <c r="E31" s="502">
        <v>1</v>
      </c>
      <c r="F31" s="503" t="s">
        <v>353</v>
      </c>
    </row>
    <row r="32" spans="1:10" x14ac:dyDescent="0.2">
      <c r="A32" s="498"/>
      <c r="B32" s="516" t="s">
        <v>385</v>
      </c>
      <c r="C32" s="439">
        <v>376</v>
      </c>
      <c r="D32" s="520" t="s">
        <v>484</v>
      </c>
      <c r="E32" s="502">
        <v>1</v>
      </c>
      <c r="F32" s="503" t="s">
        <v>353</v>
      </c>
    </row>
    <row r="33" spans="1:7" ht="26.25" thickBot="1" x14ac:dyDescent="0.25">
      <c r="A33" s="498"/>
      <c r="B33" s="556" t="s">
        <v>372</v>
      </c>
      <c r="C33" s="557">
        <f>3.28/80*100</f>
        <v>4.0999999999999996</v>
      </c>
      <c r="D33" s="558" t="s">
        <v>154</v>
      </c>
      <c r="E33" s="559">
        <v>1</v>
      </c>
      <c r="F33" s="560" t="s">
        <v>540</v>
      </c>
      <c r="G33" s="295"/>
    </row>
    <row r="34" spans="1:7" ht="13.5" thickTop="1" x14ac:dyDescent="0.2">
      <c r="A34" s="492" t="s">
        <v>264</v>
      </c>
      <c r="B34" s="527" t="s">
        <v>132</v>
      </c>
      <c r="C34" s="494">
        <v>100</v>
      </c>
      <c r="D34" s="528" t="s">
        <v>154</v>
      </c>
      <c r="E34" s="550">
        <v>15</v>
      </c>
      <c r="F34" s="561" t="s">
        <v>542</v>
      </c>
    </row>
    <row r="35" spans="1:7" ht="13.5" thickBot="1" x14ac:dyDescent="0.25">
      <c r="A35" s="562"/>
      <c r="B35" s="524" t="s">
        <v>131</v>
      </c>
      <c r="C35" s="506">
        <v>5</v>
      </c>
      <c r="D35" s="532" t="s">
        <v>154</v>
      </c>
      <c r="E35" s="526">
        <v>1</v>
      </c>
      <c r="F35" s="563" t="s">
        <v>542</v>
      </c>
    </row>
    <row r="36" spans="1:7" ht="13.5" thickTop="1" x14ac:dyDescent="0.2">
      <c r="A36" s="492" t="s">
        <v>266</v>
      </c>
      <c r="B36" s="527" t="s">
        <v>138</v>
      </c>
      <c r="C36" s="494">
        <v>50</v>
      </c>
      <c r="D36" s="528" t="s">
        <v>128</v>
      </c>
      <c r="E36" s="550" t="s">
        <v>137</v>
      </c>
      <c r="F36" s="561" t="s">
        <v>543</v>
      </c>
      <c r="G36" s="564"/>
    </row>
    <row r="37" spans="1:7" x14ac:dyDescent="0.2">
      <c r="A37" s="498"/>
      <c r="B37" s="516" t="s">
        <v>139</v>
      </c>
      <c r="C37" s="500">
        <v>10</v>
      </c>
      <c r="D37" s="520" t="s">
        <v>128</v>
      </c>
      <c r="E37" s="523" t="s">
        <v>137</v>
      </c>
      <c r="F37" s="565" t="s">
        <v>543</v>
      </c>
    </row>
    <row r="38" spans="1:7" x14ac:dyDescent="0.2">
      <c r="A38" s="498"/>
      <c r="B38" s="516" t="s">
        <v>143</v>
      </c>
      <c r="C38" s="439">
        <f>150*0.5</f>
        <v>75</v>
      </c>
      <c r="D38" s="501" t="s">
        <v>128</v>
      </c>
      <c r="E38" s="521" t="s">
        <v>347</v>
      </c>
      <c r="F38" s="566" t="s">
        <v>541</v>
      </c>
    </row>
    <row r="39" spans="1:7" ht="25.5" x14ac:dyDescent="0.2">
      <c r="A39" s="498"/>
      <c r="B39" s="516" t="s">
        <v>141</v>
      </c>
      <c r="C39" s="500">
        <f>C33</f>
        <v>4.0999999999999996</v>
      </c>
      <c r="D39" s="520" t="s">
        <v>154</v>
      </c>
      <c r="E39" s="521" t="s">
        <v>346</v>
      </c>
      <c r="F39" s="560" t="s">
        <v>540</v>
      </c>
      <c r="G39" s="537"/>
    </row>
    <row r="40" spans="1:7" x14ac:dyDescent="0.2">
      <c r="A40" s="498"/>
      <c r="B40" s="516" t="s">
        <v>146</v>
      </c>
      <c r="C40" s="500">
        <v>10</v>
      </c>
      <c r="D40" s="520" t="s">
        <v>154</v>
      </c>
      <c r="E40" s="521" t="s">
        <v>346</v>
      </c>
      <c r="F40" s="503" t="s">
        <v>542</v>
      </c>
    </row>
    <row r="41" spans="1:7" x14ac:dyDescent="0.2">
      <c r="A41" s="498"/>
      <c r="B41" s="516" t="s">
        <v>148</v>
      </c>
      <c r="C41" s="500">
        <v>5</v>
      </c>
      <c r="D41" s="520" t="s">
        <v>154</v>
      </c>
      <c r="E41" s="521" t="s">
        <v>346</v>
      </c>
      <c r="F41" s="503" t="s">
        <v>542</v>
      </c>
    </row>
    <row r="42" spans="1:7" x14ac:dyDescent="0.2">
      <c r="A42" s="498"/>
      <c r="B42" s="516" t="s">
        <v>482</v>
      </c>
      <c r="C42" s="500">
        <f>0.25*C31</f>
        <v>140.75</v>
      </c>
      <c r="D42" s="520" t="s">
        <v>484</v>
      </c>
      <c r="E42" s="521" t="s">
        <v>346</v>
      </c>
      <c r="F42" s="503" t="s">
        <v>544</v>
      </c>
    </row>
    <row r="43" spans="1:7" x14ac:dyDescent="0.2">
      <c r="A43" s="498"/>
      <c r="B43" s="516" t="s">
        <v>483</v>
      </c>
      <c r="C43" s="500">
        <f>0.25*C32</f>
        <v>94</v>
      </c>
      <c r="D43" s="520" t="s">
        <v>484</v>
      </c>
      <c r="E43" s="521" t="s">
        <v>346</v>
      </c>
      <c r="F43" s="503" t="s">
        <v>544</v>
      </c>
    </row>
    <row r="44" spans="1:7" x14ac:dyDescent="0.2">
      <c r="A44" s="498"/>
      <c r="B44" s="567" t="s">
        <v>14</v>
      </c>
      <c r="C44" s="568" t="s">
        <v>455</v>
      </c>
      <c r="D44" s="520" t="s">
        <v>128</v>
      </c>
      <c r="E44" s="521" t="s">
        <v>137</v>
      </c>
      <c r="F44" s="503" t="s">
        <v>545</v>
      </c>
    </row>
    <row r="45" spans="1:7" ht="25.5" x14ac:dyDescent="0.2">
      <c r="A45" s="498"/>
      <c r="B45" s="569" t="s">
        <v>451</v>
      </c>
      <c r="C45" s="570">
        <f>0.01*3500</f>
        <v>35</v>
      </c>
      <c r="D45" s="547" t="s">
        <v>128</v>
      </c>
      <c r="E45" s="548" t="s">
        <v>137</v>
      </c>
      <c r="F45" s="571" t="s">
        <v>560</v>
      </c>
    </row>
    <row r="46" spans="1:7" ht="39" thickBot="1" x14ac:dyDescent="0.25">
      <c r="A46" s="504"/>
      <c r="B46" s="539" t="s">
        <v>303</v>
      </c>
      <c r="C46" s="525">
        <v>300</v>
      </c>
      <c r="D46" s="507" t="s">
        <v>293</v>
      </c>
      <c r="E46" s="572" t="s">
        <v>380</v>
      </c>
      <c r="F46" s="509" t="s">
        <v>546</v>
      </c>
    </row>
    <row r="47" spans="1:7" ht="26.25" thickTop="1" x14ac:dyDescent="0.2">
      <c r="A47" s="29" t="s">
        <v>111</v>
      </c>
      <c r="B47" s="167"/>
      <c r="C47" s="432" t="s">
        <v>251</v>
      </c>
      <c r="D47" s="433" t="s">
        <v>252</v>
      </c>
      <c r="E47" s="573" t="s">
        <v>3</v>
      </c>
      <c r="F47" s="574"/>
    </row>
    <row r="48" spans="1:7" ht="17.100000000000001" customHeight="1" x14ac:dyDescent="0.2">
      <c r="A48" s="29" t="s">
        <v>112</v>
      </c>
      <c r="B48" s="211" t="s">
        <v>112</v>
      </c>
      <c r="C48" s="434">
        <v>300</v>
      </c>
      <c r="D48" s="434">
        <v>200</v>
      </c>
      <c r="E48" s="575">
        <v>1</v>
      </c>
      <c r="F48" s="576" t="s">
        <v>547</v>
      </c>
    </row>
    <row r="49" spans="1:6" ht="17.100000000000001" customHeight="1" x14ac:dyDescent="0.2">
      <c r="A49" s="29" t="s">
        <v>286</v>
      </c>
      <c r="B49" s="211" t="s">
        <v>302</v>
      </c>
      <c r="C49" s="434">
        <v>1000</v>
      </c>
      <c r="D49" s="434">
        <v>500</v>
      </c>
      <c r="E49" s="575">
        <v>1</v>
      </c>
      <c r="F49" s="576" t="s">
        <v>547</v>
      </c>
    </row>
    <row r="50" spans="1:6" ht="17.100000000000001" customHeight="1" x14ac:dyDescent="0.2">
      <c r="A50" s="29" t="s">
        <v>459</v>
      </c>
      <c r="B50" s="211" t="s">
        <v>30</v>
      </c>
      <c r="C50" s="435">
        <f>'Lookup Tables'!V3</f>
        <v>1282</v>
      </c>
      <c r="D50" s="434">
        <f>'Lookup Tables'!V4</f>
        <v>466.89285714285717</v>
      </c>
      <c r="E50" s="575">
        <v>1</v>
      </c>
      <c r="F50" s="576" t="s">
        <v>548</v>
      </c>
    </row>
    <row r="51" spans="1:6" ht="17.100000000000001" customHeight="1" x14ac:dyDescent="0.2">
      <c r="B51" s="211" t="s">
        <v>246</v>
      </c>
      <c r="C51" s="435">
        <v>500</v>
      </c>
      <c r="D51" s="434">
        <f>0.5*C51</f>
        <v>250</v>
      </c>
      <c r="E51" s="577">
        <v>5</v>
      </c>
      <c r="F51" s="576" t="s">
        <v>547</v>
      </c>
    </row>
    <row r="52" spans="1:6" ht="17.100000000000001" customHeight="1" x14ac:dyDescent="0.2">
      <c r="B52" s="211" t="s">
        <v>248</v>
      </c>
      <c r="C52" s="435">
        <f>'Lookup Tables'!W3</f>
        <v>1882</v>
      </c>
      <c r="D52" s="434">
        <f>'Lookup Tables'!W4</f>
        <v>493.67857142857144</v>
      </c>
      <c r="E52" s="577">
        <v>5</v>
      </c>
      <c r="F52" s="576" t="s">
        <v>548</v>
      </c>
    </row>
    <row r="53" spans="1:6" ht="17.100000000000001" customHeight="1" x14ac:dyDescent="0.2">
      <c r="B53" s="211" t="s">
        <v>311</v>
      </c>
      <c r="C53" s="435">
        <v>500</v>
      </c>
      <c r="D53" s="434">
        <f>0.5*C53</f>
        <v>250</v>
      </c>
      <c r="E53" s="575" t="s">
        <v>456</v>
      </c>
      <c r="F53" s="576" t="s">
        <v>547</v>
      </c>
    </row>
    <row r="54" spans="1:6" ht="17.100000000000001" customHeight="1" x14ac:dyDescent="0.2">
      <c r="B54" s="211" t="s">
        <v>250</v>
      </c>
      <c r="C54" s="435">
        <f>'Lookup Tables'!W3</f>
        <v>1882</v>
      </c>
      <c r="D54" s="434">
        <f>'Lookup Tables'!W4</f>
        <v>493.67857142857144</v>
      </c>
      <c r="E54" s="575" t="s">
        <v>456</v>
      </c>
      <c r="F54" s="576" t="s">
        <v>548</v>
      </c>
    </row>
    <row r="55" spans="1:6" ht="17.100000000000001" customHeight="1" x14ac:dyDescent="0.2">
      <c r="B55" s="443"/>
      <c r="C55" s="578" t="s">
        <v>462</v>
      </c>
      <c r="D55" s="444" t="s">
        <v>463</v>
      </c>
      <c r="E55" s="579" t="s">
        <v>3</v>
      </c>
      <c r="F55" s="576"/>
    </row>
    <row r="56" spans="1:6" ht="17.100000000000001" customHeight="1" x14ac:dyDescent="0.2">
      <c r="A56" s="580" t="s">
        <v>461</v>
      </c>
      <c r="B56" s="211" t="s">
        <v>27</v>
      </c>
      <c r="C56" s="438">
        <v>0.05</v>
      </c>
      <c r="D56" s="1077" t="s">
        <v>465</v>
      </c>
      <c r="E56" s="581">
        <v>1</v>
      </c>
      <c r="F56" s="582" t="s">
        <v>549</v>
      </c>
    </row>
    <row r="57" spans="1:6" ht="24" customHeight="1" x14ac:dyDescent="0.2">
      <c r="B57" s="211" t="s">
        <v>457</v>
      </c>
      <c r="C57" s="438">
        <v>0.05</v>
      </c>
      <c r="D57" s="1078"/>
      <c r="E57" s="581">
        <v>1</v>
      </c>
      <c r="F57" s="582" t="s">
        <v>549</v>
      </c>
    </row>
    <row r="58" spans="1:6" ht="35.25" customHeight="1" x14ac:dyDescent="0.2">
      <c r="B58" s="441" t="s">
        <v>458</v>
      </c>
      <c r="C58" s="442">
        <v>0.05</v>
      </c>
      <c r="D58" s="583" t="s">
        <v>464</v>
      </c>
      <c r="E58" s="584" t="s">
        <v>456</v>
      </c>
      <c r="F58" s="585" t="s">
        <v>550</v>
      </c>
    </row>
    <row r="59" spans="1:6" ht="39.75" customHeight="1" x14ac:dyDescent="0.2">
      <c r="A59" s="586" t="s">
        <v>460</v>
      </c>
      <c r="B59" s="443"/>
      <c r="C59" s="440" t="s">
        <v>414</v>
      </c>
      <c r="D59" s="385" t="s">
        <v>416</v>
      </c>
      <c r="E59" s="436" t="s">
        <v>415</v>
      </c>
      <c r="F59" s="587"/>
    </row>
    <row r="60" spans="1:6" ht="17.100000000000001" customHeight="1" x14ac:dyDescent="0.2">
      <c r="A60" s="580"/>
      <c r="B60" s="211" t="s">
        <v>247</v>
      </c>
      <c r="C60" s="434">
        <v>1000</v>
      </c>
      <c r="D60" s="435">
        <v>500</v>
      </c>
      <c r="E60" s="435">
        <v>100</v>
      </c>
      <c r="F60" s="582"/>
    </row>
    <row r="61" spans="1:6" ht="17.100000000000001" customHeight="1" thickBot="1" x14ac:dyDescent="0.25">
      <c r="A61" s="588"/>
      <c r="B61" s="389" t="s">
        <v>249</v>
      </c>
      <c r="C61" s="437">
        <v>1000</v>
      </c>
      <c r="D61" s="589">
        <v>500</v>
      </c>
      <c r="E61" s="589">
        <v>100</v>
      </c>
      <c r="F61" s="590"/>
    </row>
    <row r="62" spans="1:6" ht="17.100000000000001" customHeight="1" thickTop="1" x14ac:dyDescent="0.2">
      <c r="F62" s="479"/>
    </row>
    <row r="63" spans="1:6" ht="17.100000000000001" customHeight="1" x14ac:dyDescent="0.2">
      <c r="A63" s="592" t="s">
        <v>447</v>
      </c>
      <c r="B63" s="431" t="s">
        <v>531</v>
      </c>
      <c r="C63" s="593"/>
      <c r="D63" s="594"/>
      <c r="E63" s="595"/>
      <c r="F63" s="596"/>
    </row>
    <row r="64" spans="1:6" ht="17.100000000000001" customHeight="1" x14ac:dyDescent="0.2">
      <c r="A64" s="597"/>
      <c r="B64" s="430" t="s">
        <v>446</v>
      </c>
      <c r="C64" s="598"/>
      <c r="D64" s="40"/>
      <c r="E64" s="599"/>
    </row>
    <row r="65" spans="1:7" ht="30.75" customHeight="1" x14ac:dyDescent="0.2">
      <c r="A65" s="600" t="s">
        <v>3</v>
      </c>
      <c r="B65" s="600" t="s">
        <v>160</v>
      </c>
      <c r="C65" s="601" t="s">
        <v>444</v>
      </c>
      <c r="D65" s="600" t="s">
        <v>445</v>
      </c>
      <c r="E65" s="602" t="s">
        <v>562</v>
      </c>
      <c r="F65" s="479"/>
    </row>
    <row r="66" spans="1:7" x14ac:dyDescent="0.2">
      <c r="A66" s="603">
        <v>1</v>
      </c>
      <c r="B66" s="604">
        <f>MAX('Cost Data'!$C$45,'Cost Data'!A66/38*'Income Data'!$H$5)</f>
        <v>35</v>
      </c>
      <c r="C66" s="605">
        <f>MAX('Cost Data'!$C$45,'Cost Data'!A66/76*'Income Data'!$H$6)</f>
        <v>35</v>
      </c>
      <c r="D66" s="606">
        <f>MAX('Cost Data'!$C$45,'Cost Data'!A66/60*'Income Data'!$H$7)</f>
        <v>35</v>
      </c>
      <c r="E66" s="607">
        <f>$C$45</f>
        <v>35</v>
      </c>
      <c r="F66" s="479"/>
      <c r="G66" s="608"/>
    </row>
    <row r="67" spans="1:7" x14ac:dyDescent="0.2">
      <c r="A67" s="603">
        <v>2</v>
      </c>
      <c r="B67" s="604">
        <f>MAX('Cost Data'!$C$45,'Cost Data'!A67/38*'Income Data'!$H$5)</f>
        <v>35</v>
      </c>
      <c r="C67" s="605">
        <f>MAX('Cost Data'!$C$45,'Cost Data'!A67/76*'Income Data'!$H$6)</f>
        <v>35</v>
      </c>
      <c r="D67" s="606">
        <f>MAX('Cost Data'!$C$45,'Cost Data'!A67/60*'Income Data'!$H$7)</f>
        <v>35</v>
      </c>
      <c r="E67" s="607">
        <f t="shared" ref="E67:E130" si="0">$C$45</f>
        <v>35</v>
      </c>
      <c r="F67" s="479"/>
      <c r="G67" s="608"/>
    </row>
    <row r="68" spans="1:7" x14ac:dyDescent="0.2">
      <c r="A68" s="603">
        <v>3</v>
      </c>
      <c r="B68" s="604">
        <f>MAX('Cost Data'!$C$45,'Cost Data'!A68/38*'Income Data'!$H$5)</f>
        <v>35</v>
      </c>
      <c r="C68" s="605">
        <f>MAX('Cost Data'!$C$45,'Cost Data'!A68/76*'Income Data'!$H$6)</f>
        <v>35</v>
      </c>
      <c r="D68" s="606">
        <f>MAX('Cost Data'!$C$45,'Cost Data'!A68/60*'Income Data'!$H$7)</f>
        <v>35</v>
      </c>
      <c r="E68" s="607">
        <f t="shared" si="0"/>
        <v>35</v>
      </c>
      <c r="F68" s="479"/>
      <c r="G68" s="608"/>
    </row>
    <row r="69" spans="1:7" x14ac:dyDescent="0.2">
      <c r="A69" s="603">
        <v>4</v>
      </c>
      <c r="B69" s="604">
        <f>MAX('Cost Data'!$C$45,'Cost Data'!A69/38*'Income Data'!$H$5)</f>
        <v>35</v>
      </c>
      <c r="C69" s="605">
        <f>MAX('Cost Data'!$C$45,'Cost Data'!A69/76*'Income Data'!$H$6)</f>
        <v>35</v>
      </c>
      <c r="D69" s="606">
        <f>MAX('Cost Data'!$C$45,'Cost Data'!A69/60*'Income Data'!$H$7)</f>
        <v>35</v>
      </c>
      <c r="E69" s="607">
        <f t="shared" si="0"/>
        <v>35</v>
      </c>
      <c r="F69" s="479"/>
      <c r="G69" s="608"/>
    </row>
    <row r="70" spans="1:7" x14ac:dyDescent="0.2">
      <c r="A70" s="603">
        <v>5</v>
      </c>
      <c r="B70" s="604">
        <f>MAX('Cost Data'!$C$45,'Cost Data'!A70/38*'Income Data'!$H$5)</f>
        <v>35</v>
      </c>
      <c r="C70" s="605">
        <f>MAX('Cost Data'!$C$45,'Cost Data'!A70/76*'Income Data'!$H$6)</f>
        <v>35</v>
      </c>
      <c r="D70" s="606">
        <f>MAX('Cost Data'!$C$45,'Cost Data'!A70/60*'Income Data'!$H$7)</f>
        <v>35</v>
      </c>
      <c r="E70" s="607">
        <f t="shared" si="0"/>
        <v>35</v>
      </c>
      <c r="F70" s="479"/>
      <c r="G70" s="608"/>
    </row>
    <row r="71" spans="1:7" x14ac:dyDescent="0.2">
      <c r="A71" s="603">
        <v>6</v>
      </c>
      <c r="B71" s="604">
        <f>MAX('Cost Data'!$C$45,'Cost Data'!A71/38*'Income Data'!$H$5)</f>
        <v>35</v>
      </c>
      <c r="C71" s="605">
        <f>MAX('Cost Data'!$C$45,'Cost Data'!A71/76*'Income Data'!$H$6)</f>
        <v>35</v>
      </c>
      <c r="D71" s="606">
        <f>MAX('Cost Data'!$C$45,'Cost Data'!A71/60*'Income Data'!$H$7)</f>
        <v>35</v>
      </c>
      <c r="E71" s="607">
        <f t="shared" si="0"/>
        <v>35</v>
      </c>
      <c r="F71" s="479"/>
      <c r="G71" s="608"/>
    </row>
    <row r="72" spans="1:7" x14ac:dyDescent="0.2">
      <c r="A72" s="603">
        <v>7</v>
      </c>
      <c r="B72" s="604">
        <f>MAX('Cost Data'!$C$45,'Cost Data'!A72/38*'Income Data'!$H$5)</f>
        <v>35</v>
      </c>
      <c r="C72" s="605">
        <f>MAX('Cost Data'!$C$45,'Cost Data'!A72/76*'Income Data'!$H$6)</f>
        <v>35</v>
      </c>
      <c r="D72" s="606">
        <f>MAX('Cost Data'!$C$45,'Cost Data'!A72/60*'Income Data'!$H$7)</f>
        <v>35</v>
      </c>
      <c r="E72" s="607">
        <f t="shared" si="0"/>
        <v>35</v>
      </c>
      <c r="F72" s="8"/>
    </row>
    <row r="73" spans="1:7" x14ac:dyDescent="0.2">
      <c r="A73" s="603">
        <v>8</v>
      </c>
      <c r="B73" s="604">
        <f>MAX('Cost Data'!$C$45,'Cost Data'!A73/38*'Income Data'!$H$5)</f>
        <v>37.923957894736837</v>
      </c>
      <c r="C73" s="605">
        <f>MAX('Cost Data'!$C$45,'Cost Data'!A73/76*'Income Data'!$H$6)</f>
        <v>35</v>
      </c>
      <c r="D73" s="606">
        <f>MAX('Cost Data'!$C$45,'Cost Data'!A73/60*'Income Data'!$H$7)</f>
        <v>35</v>
      </c>
      <c r="E73" s="607">
        <f t="shared" si="0"/>
        <v>35</v>
      </c>
      <c r="F73" s="8"/>
    </row>
    <row r="74" spans="1:7" x14ac:dyDescent="0.2">
      <c r="A74" s="603">
        <v>9</v>
      </c>
      <c r="B74" s="604">
        <f>MAX('Cost Data'!$C$45,'Cost Data'!A74/38*'Income Data'!$H$5)</f>
        <v>42.664452631578939</v>
      </c>
      <c r="C74" s="605">
        <f>MAX('Cost Data'!$C$45,'Cost Data'!A74/76*'Income Data'!$H$6)</f>
        <v>35</v>
      </c>
      <c r="D74" s="606">
        <f>MAX('Cost Data'!$C$45,'Cost Data'!A74/60*'Income Data'!$H$7)</f>
        <v>35</v>
      </c>
      <c r="E74" s="607">
        <f t="shared" si="0"/>
        <v>35</v>
      </c>
      <c r="F74" s="8"/>
    </row>
    <row r="75" spans="1:7" x14ac:dyDescent="0.2">
      <c r="A75" s="603">
        <v>10</v>
      </c>
      <c r="B75" s="604">
        <f>MAX('Cost Data'!$C$45,'Cost Data'!A75/38*'Income Data'!$H$5)</f>
        <v>47.404947368421041</v>
      </c>
      <c r="C75" s="605">
        <f>MAX('Cost Data'!$C$45,'Cost Data'!A75/76*'Income Data'!$H$6)</f>
        <v>35</v>
      </c>
      <c r="D75" s="606">
        <f>MAX('Cost Data'!$C$45,'Cost Data'!A75/60*'Income Data'!$H$7)</f>
        <v>35</v>
      </c>
      <c r="E75" s="607">
        <f t="shared" si="0"/>
        <v>35</v>
      </c>
      <c r="F75" s="8"/>
    </row>
    <row r="76" spans="1:7" x14ac:dyDescent="0.2">
      <c r="A76" s="603">
        <v>11</v>
      </c>
      <c r="B76" s="604">
        <f>MAX('Cost Data'!$C$45,'Cost Data'!A76/38*'Income Data'!$H$5)</f>
        <v>52.14544210526315</v>
      </c>
      <c r="C76" s="605">
        <f>MAX('Cost Data'!$C$45,'Cost Data'!A76/76*'Income Data'!$H$6)</f>
        <v>35</v>
      </c>
      <c r="D76" s="606">
        <f>MAX('Cost Data'!$C$45,'Cost Data'!A76/60*'Income Data'!$H$7)</f>
        <v>35.452706666666664</v>
      </c>
      <c r="E76" s="607">
        <f t="shared" si="0"/>
        <v>35</v>
      </c>
      <c r="F76" s="8"/>
    </row>
    <row r="77" spans="1:7" x14ac:dyDescent="0.2">
      <c r="A77" s="603">
        <v>12</v>
      </c>
      <c r="B77" s="604">
        <f>MAX('Cost Data'!$C$45,'Cost Data'!A77/38*'Income Data'!$H$5)</f>
        <v>56.885936842105252</v>
      </c>
      <c r="C77" s="605">
        <f>MAX('Cost Data'!$C$45,'Cost Data'!A77/76*'Income Data'!$H$6)</f>
        <v>35</v>
      </c>
      <c r="D77" s="606">
        <f>MAX('Cost Data'!$C$45,'Cost Data'!A77/60*'Income Data'!$H$7)</f>
        <v>38.67568</v>
      </c>
      <c r="E77" s="607">
        <f t="shared" si="0"/>
        <v>35</v>
      </c>
      <c r="F77" s="8"/>
    </row>
    <row r="78" spans="1:7" x14ac:dyDescent="0.2">
      <c r="A78" s="603">
        <v>13</v>
      </c>
      <c r="B78" s="604">
        <f>MAX('Cost Data'!$C$45,'Cost Data'!A78/38*'Income Data'!$H$5)</f>
        <v>61.626431578947361</v>
      </c>
      <c r="C78" s="605">
        <f>MAX('Cost Data'!$C$45,'Cost Data'!A78/76*'Income Data'!$H$6)</f>
        <v>35</v>
      </c>
      <c r="D78" s="606">
        <f>MAX('Cost Data'!$C$45,'Cost Data'!A78/60*'Income Data'!$H$7)</f>
        <v>41.898653333333336</v>
      </c>
      <c r="E78" s="607">
        <f t="shared" si="0"/>
        <v>35</v>
      </c>
      <c r="F78" s="8"/>
    </row>
    <row r="79" spans="1:7" x14ac:dyDescent="0.2">
      <c r="A79" s="603">
        <v>14</v>
      </c>
      <c r="B79" s="604">
        <f>MAX('Cost Data'!$C$45,'Cost Data'!A79/38*'Income Data'!$H$5)</f>
        <v>66.366926315789456</v>
      </c>
      <c r="C79" s="605">
        <f>MAX('Cost Data'!$C$45,'Cost Data'!A79/76*'Income Data'!$H$6)</f>
        <v>35</v>
      </c>
      <c r="D79" s="606">
        <f>MAX('Cost Data'!$C$45,'Cost Data'!A79/60*'Income Data'!$H$7)</f>
        <v>45.121626666666664</v>
      </c>
      <c r="E79" s="607">
        <f t="shared" si="0"/>
        <v>35</v>
      </c>
      <c r="F79" s="8"/>
    </row>
    <row r="80" spans="1:7" x14ac:dyDescent="0.2">
      <c r="A80" s="603">
        <v>15</v>
      </c>
      <c r="B80" s="604">
        <f>MAX('Cost Data'!$C$45,'Cost Data'!A80/38*'Income Data'!$H$5)</f>
        <v>71.107421052631565</v>
      </c>
      <c r="C80" s="605">
        <f>MAX('Cost Data'!$C$45,'Cost Data'!A80/76*'Income Data'!$H$6)</f>
        <v>35</v>
      </c>
      <c r="D80" s="606">
        <f>MAX('Cost Data'!$C$45,'Cost Data'!A80/60*'Income Data'!$H$7)</f>
        <v>48.3446</v>
      </c>
      <c r="E80" s="607">
        <f t="shared" si="0"/>
        <v>35</v>
      </c>
      <c r="F80" s="8"/>
    </row>
    <row r="81" spans="1:6" x14ac:dyDescent="0.2">
      <c r="A81" s="603">
        <v>16</v>
      </c>
      <c r="B81" s="604">
        <f>MAX('Cost Data'!$C$45,'Cost Data'!A81/38*'Income Data'!$H$5)</f>
        <v>75.847915789473674</v>
      </c>
      <c r="C81" s="605">
        <f>MAX('Cost Data'!$C$45,'Cost Data'!A81/76*'Income Data'!$H$6)</f>
        <v>35</v>
      </c>
      <c r="D81" s="606">
        <f>MAX('Cost Data'!$C$45,'Cost Data'!A81/60*'Income Data'!$H$7)</f>
        <v>51.567573333333335</v>
      </c>
      <c r="E81" s="607">
        <f t="shared" si="0"/>
        <v>35</v>
      </c>
      <c r="F81" s="8"/>
    </row>
    <row r="82" spans="1:6" x14ac:dyDescent="0.2">
      <c r="A82" s="603">
        <v>17</v>
      </c>
      <c r="B82" s="604">
        <f>MAX('Cost Data'!$C$45,'Cost Data'!A82/38*'Income Data'!$H$5)</f>
        <v>80.588410526315783</v>
      </c>
      <c r="C82" s="605">
        <f>MAX('Cost Data'!$C$45,'Cost Data'!A82/76*'Income Data'!$H$6)</f>
        <v>35</v>
      </c>
      <c r="D82" s="606">
        <f>MAX('Cost Data'!$C$45,'Cost Data'!A82/60*'Income Data'!$H$7)</f>
        <v>54.790546666666664</v>
      </c>
      <c r="E82" s="607">
        <f t="shared" si="0"/>
        <v>35</v>
      </c>
      <c r="F82" s="8"/>
    </row>
    <row r="83" spans="1:6" x14ac:dyDescent="0.2">
      <c r="A83" s="603">
        <v>18</v>
      </c>
      <c r="B83" s="604">
        <f>MAX('Cost Data'!$C$45,'Cost Data'!A83/38*'Income Data'!$H$5)</f>
        <v>85.328905263157878</v>
      </c>
      <c r="C83" s="605">
        <f>MAX('Cost Data'!$C$45,'Cost Data'!A83/76*'Income Data'!$H$6)</f>
        <v>35</v>
      </c>
      <c r="D83" s="606">
        <f>MAX('Cost Data'!$C$45,'Cost Data'!A83/60*'Income Data'!$H$7)</f>
        <v>58.01352</v>
      </c>
      <c r="E83" s="607">
        <f t="shared" si="0"/>
        <v>35</v>
      </c>
      <c r="F83" s="8"/>
    </row>
    <row r="84" spans="1:6" x14ac:dyDescent="0.2">
      <c r="A84" s="603">
        <v>19</v>
      </c>
      <c r="B84" s="604">
        <f>MAX('Cost Data'!$C$45,'Cost Data'!A84/38*'Income Data'!$H$5)</f>
        <v>90.069399999999987</v>
      </c>
      <c r="C84" s="605">
        <f>MAX('Cost Data'!$C$45,'Cost Data'!A84/76*'Income Data'!$H$6)</f>
        <v>35</v>
      </c>
      <c r="D84" s="606">
        <f>MAX('Cost Data'!$C$45,'Cost Data'!A84/60*'Income Data'!$H$7)</f>
        <v>61.236493333333328</v>
      </c>
      <c r="E84" s="607">
        <f t="shared" si="0"/>
        <v>35</v>
      </c>
      <c r="F84" s="8"/>
    </row>
    <row r="85" spans="1:6" x14ac:dyDescent="0.2">
      <c r="A85" s="603">
        <v>20</v>
      </c>
      <c r="B85" s="604">
        <f>MAX('Cost Data'!$C$45,'Cost Data'!A85/38*'Income Data'!$H$5)</f>
        <v>94.809894736842082</v>
      </c>
      <c r="C85" s="605">
        <f>MAX('Cost Data'!$C$45,'Cost Data'!A85/76*'Income Data'!$H$6)</f>
        <v>35</v>
      </c>
      <c r="D85" s="606">
        <f>MAX('Cost Data'!$C$45,'Cost Data'!A85/60*'Income Data'!$H$7)</f>
        <v>64.459466666666657</v>
      </c>
      <c r="E85" s="607">
        <f t="shared" si="0"/>
        <v>35</v>
      </c>
      <c r="F85" s="8"/>
    </row>
    <row r="86" spans="1:6" x14ac:dyDescent="0.2">
      <c r="A86" s="603">
        <v>21</v>
      </c>
      <c r="B86" s="604">
        <f>MAX('Cost Data'!$C$45,'Cost Data'!A86/38*'Income Data'!$H$5)</f>
        <v>99.550389473684206</v>
      </c>
      <c r="C86" s="605">
        <f>MAX('Cost Data'!$C$45,'Cost Data'!A86/76*'Income Data'!$H$6)</f>
        <v>35</v>
      </c>
      <c r="D86" s="606">
        <f>MAX('Cost Data'!$C$45,'Cost Data'!A86/60*'Income Data'!$H$7)</f>
        <v>67.68244</v>
      </c>
      <c r="E86" s="607">
        <f t="shared" si="0"/>
        <v>35</v>
      </c>
      <c r="F86" s="8"/>
    </row>
    <row r="87" spans="1:6" x14ac:dyDescent="0.2">
      <c r="A87" s="603">
        <v>22</v>
      </c>
      <c r="B87" s="604">
        <f>MAX('Cost Data'!$C$45,'Cost Data'!A87/38*'Income Data'!$H$5)</f>
        <v>104.2908842105263</v>
      </c>
      <c r="C87" s="605">
        <f>MAX('Cost Data'!$C$45,'Cost Data'!A87/76*'Income Data'!$H$6)</f>
        <v>36.002421052631576</v>
      </c>
      <c r="D87" s="606">
        <f>MAX('Cost Data'!$C$45,'Cost Data'!A87/60*'Income Data'!$H$7)</f>
        <v>70.905413333333328</v>
      </c>
      <c r="E87" s="607">
        <f t="shared" si="0"/>
        <v>35</v>
      </c>
      <c r="F87" s="8"/>
    </row>
    <row r="88" spans="1:6" x14ac:dyDescent="0.2">
      <c r="A88" s="603">
        <v>23</v>
      </c>
      <c r="B88" s="604">
        <f>MAX('Cost Data'!$C$45,'Cost Data'!A88/38*'Income Data'!$H$5)</f>
        <v>109.03137894736841</v>
      </c>
      <c r="C88" s="605">
        <f>MAX('Cost Data'!$C$45,'Cost Data'!A88/76*'Income Data'!$H$6)</f>
        <v>37.638894736842097</v>
      </c>
      <c r="D88" s="606">
        <f>MAX('Cost Data'!$C$45,'Cost Data'!A88/60*'Income Data'!$H$7)</f>
        <v>74.128386666666671</v>
      </c>
      <c r="E88" s="607">
        <f t="shared" si="0"/>
        <v>35</v>
      </c>
      <c r="F88" s="8"/>
    </row>
    <row r="89" spans="1:6" x14ac:dyDescent="0.2">
      <c r="A89" s="603">
        <v>24</v>
      </c>
      <c r="B89" s="604">
        <f>MAX('Cost Data'!$C$45,'Cost Data'!A89/38*'Income Data'!$H$5)</f>
        <v>113.7718736842105</v>
      </c>
      <c r="C89" s="605">
        <f>MAX('Cost Data'!$C$45,'Cost Data'!A89/76*'Income Data'!$H$6)</f>
        <v>39.275368421052626</v>
      </c>
      <c r="D89" s="606">
        <f>MAX('Cost Data'!$C$45,'Cost Data'!A89/60*'Income Data'!$H$7)</f>
        <v>77.35136</v>
      </c>
      <c r="E89" s="607">
        <f t="shared" si="0"/>
        <v>35</v>
      </c>
      <c r="F89" s="8"/>
    </row>
    <row r="90" spans="1:6" x14ac:dyDescent="0.2">
      <c r="A90" s="603">
        <v>25</v>
      </c>
      <c r="B90" s="604">
        <f>MAX('Cost Data'!$C$45,'Cost Data'!A90/38*'Income Data'!$H$5)</f>
        <v>118.51236842105263</v>
      </c>
      <c r="C90" s="605">
        <f>MAX('Cost Data'!$C$45,'Cost Data'!A90/76*'Income Data'!$H$6)</f>
        <v>40.911842105263155</v>
      </c>
      <c r="D90" s="606">
        <f>MAX('Cost Data'!$C$45,'Cost Data'!A90/60*'Income Data'!$H$7)</f>
        <v>80.574333333333342</v>
      </c>
      <c r="E90" s="607">
        <f t="shared" si="0"/>
        <v>35</v>
      </c>
      <c r="F90" s="8"/>
    </row>
    <row r="91" spans="1:6" x14ac:dyDescent="0.2">
      <c r="A91" s="603">
        <v>26</v>
      </c>
      <c r="B91" s="604">
        <f>MAX('Cost Data'!$C$45,'Cost Data'!A91/38*'Income Data'!$H$5)</f>
        <v>123.25286315789472</v>
      </c>
      <c r="C91" s="605">
        <f>MAX('Cost Data'!$C$45,'Cost Data'!A91/76*'Income Data'!$H$6)</f>
        <v>42.548315789473683</v>
      </c>
      <c r="D91" s="606">
        <f>MAX('Cost Data'!$C$45,'Cost Data'!A91/60*'Income Data'!$H$7)</f>
        <v>83.797306666666671</v>
      </c>
      <c r="E91" s="607">
        <f t="shared" si="0"/>
        <v>35</v>
      </c>
      <c r="F91" s="8"/>
    </row>
    <row r="92" spans="1:6" x14ac:dyDescent="0.2">
      <c r="A92" s="603">
        <v>27</v>
      </c>
      <c r="B92" s="604">
        <f>MAX('Cost Data'!$C$45,'Cost Data'!A92/38*'Income Data'!$H$5)</f>
        <v>127.99335789473682</v>
      </c>
      <c r="C92" s="605">
        <f>MAX('Cost Data'!$C$45,'Cost Data'!A92/76*'Income Data'!$H$6)</f>
        <v>44.184789473684205</v>
      </c>
      <c r="D92" s="606">
        <f>MAX('Cost Data'!$C$45,'Cost Data'!A92/60*'Income Data'!$H$7)</f>
        <v>87.02028</v>
      </c>
      <c r="E92" s="607">
        <f t="shared" si="0"/>
        <v>35</v>
      </c>
      <c r="F92" s="8"/>
    </row>
    <row r="93" spans="1:6" x14ac:dyDescent="0.2">
      <c r="A93" s="603">
        <v>28</v>
      </c>
      <c r="B93" s="604">
        <f>MAX('Cost Data'!$C$45,'Cost Data'!A93/38*'Income Data'!$H$5)</f>
        <v>132.73385263157891</v>
      </c>
      <c r="C93" s="605">
        <f>MAX('Cost Data'!$C$45,'Cost Data'!A93/76*'Income Data'!$H$6)</f>
        <v>45.821263157894727</v>
      </c>
      <c r="D93" s="606">
        <f>MAX('Cost Data'!$C$45,'Cost Data'!A93/60*'Income Data'!$H$7)</f>
        <v>90.243253333333328</v>
      </c>
      <c r="E93" s="607">
        <f t="shared" si="0"/>
        <v>35</v>
      </c>
      <c r="F93" s="8"/>
    </row>
    <row r="94" spans="1:6" x14ac:dyDescent="0.2">
      <c r="A94" s="603">
        <v>29</v>
      </c>
      <c r="B94" s="604">
        <f>MAX('Cost Data'!$C$45,'Cost Data'!A94/38*'Income Data'!$H$5)</f>
        <v>137.47434736842104</v>
      </c>
      <c r="C94" s="605">
        <f>MAX('Cost Data'!$C$45,'Cost Data'!A94/76*'Income Data'!$H$6)</f>
        <v>47.457736842105263</v>
      </c>
      <c r="D94" s="606">
        <f>MAX('Cost Data'!$C$45,'Cost Data'!A94/60*'Income Data'!$H$7)</f>
        <v>93.466226666666671</v>
      </c>
      <c r="E94" s="607">
        <f t="shared" si="0"/>
        <v>35</v>
      </c>
      <c r="F94" s="8"/>
    </row>
    <row r="95" spans="1:6" x14ac:dyDescent="0.2">
      <c r="A95" s="603">
        <v>30</v>
      </c>
      <c r="B95" s="604">
        <f>MAX('Cost Data'!$C$45,'Cost Data'!A95/38*'Income Data'!$H$5)</f>
        <v>142.21484210526313</v>
      </c>
      <c r="C95" s="605">
        <f>MAX('Cost Data'!$C$45,'Cost Data'!A95/76*'Income Data'!$H$6)</f>
        <v>49.094210526315784</v>
      </c>
      <c r="D95" s="606">
        <f>MAX('Cost Data'!$C$45,'Cost Data'!A95/60*'Income Data'!$H$7)</f>
        <v>96.6892</v>
      </c>
      <c r="E95" s="607">
        <f t="shared" si="0"/>
        <v>35</v>
      </c>
      <c r="F95" s="8"/>
    </row>
    <row r="96" spans="1:6" x14ac:dyDescent="0.2">
      <c r="A96" s="603">
        <v>31</v>
      </c>
      <c r="B96" s="604">
        <f>MAX('Cost Data'!$C$45,'Cost Data'!A96/38*'Income Data'!$H$5)</f>
        <v>146.95533684210523</v>
      </c>
      <c r="C96" s="605">
        <f>MAX('Cost Data'!$C$45,'Cost Data'!A96/76*'Income Data'!$H$6)</f>
        <v>50.730684210526306</v>
      </c>
      <c r="D96" s="606">
        <f>MAX('Cost Data'!$C$45,'Cost Data'!A96/60*'Income Data'!$H$7)</f>
        <v>99.912173333333342</v>
      </c>
      <c r="E96" s="607">
        <f t="shared" si="0"/>
        <v>35</v>
      </c>
      <c r="F96" s="8"/>
    </row>
    <row r="97" spans="1:6" x14ac:dyDescent="0.2">
      <c r="A97" s="603">
        <v>32</v>
      </c>
      <c r="B97" s="604">
        <f>MAX('Cost Data'!$C$45,'Cost Data'!A97/38*'Income Data'!$H$5)</f>
        <v>151.69583157894735</v>
      </c>
      <c r="C97" s="605">
        <f>MAX('Cost Data'!$C$45,'Cost Data'!A97/76*'Income Data'!$H$6)</f>
        <v>52.367157894736835</v>
      </c>
      <c r="D97" s="606">
        <f>MAX('Cost Data'!$C$45,'Cost Data'!A97/60*'Income Data'!$H$7)</f>
        <v>103.13514666666667</v>
      </c>
      <c r="E97" s="607">
        <f t="shared" si="0"/>
        <v>35</v>
      </c>
      <c r="F97" s="8"/>
    </row>
    <row r="98" spans="1:6" x14ac:dyDescent="0.2">
      <c r="A98" s="603">
        <v>33</v>
      </c>
      <c r="B98" s="604">
        <f>MAX('Cost Data'!$C$45,'Cost Data'!A98/38*'Income Data'!$H$5)</f>
        <v>156.43632631578947</v>
      </c>
      <c r="C98" s="605">
        <f>MAX('Cost Data'!$C$45,'Cost Data'!A98/76*'Income Data'!$H$6)</f>
        <v>54.003631578947363</v>
      </c>
      <c r="D98" s="606">
        <f>MAX('Cost Data'!$C$45,'Cost Data'!A98/60*'Income Data'!$H$7)</f>
        <v>106.35812000000001</v>
      </c>
      <c r="E98" s="607">
        <f t="shared" si="0"/>
        <v>35</v>
      </c>
      <c r="F98" s="8"/>
    </row>
    <row r="99" spans="1:6" x14ac:dyDescent="0.2">
      <c r="A99" s="603">
        <v>34</v>
      </c>
      <c r="B99" s="604">
        <f>MAX('Cost Data'!$C$45,'Cost Data'!A99/38*'Income Data'!$H$5)</f>
        <v>161.17682105263157</v>
      </c>
      <c r="C99" s="605">
        <f>MAX('Cost Data'!$C$45,'Cost Data'!A99/76*'Income Data'!$H$6)</f>
        <v>55.640105263157892</v>
      </c>
      <c r="D99" s="606">
        <f>MAX('Cost Data'!$C$45,'Cost Data'!A99/60*'Income Data'!$H$7)</f>
        <v>109.58109333333333</v>
      </c>
      <c r="E99" s="607">
        <f t="shared" si="0"/>
        <v>35</v>
      </c>
      <c r="F99" s="8"/>
    </row>
    <row r="100" spans="1:6" x14ac:dyDescent="0.2">
      <c r="A100" s="603">
        <v>35</v>
      </c>
      <c r="B100" s="604">
        <f>MAX('Cost Data'!$C$45,'Cost Data'!A100/38*'Income Data'!$H$5)</f>
        <v>165.91731578947366</v>
      </c>
      <c r="C100" s="605">
        <f>MAX('Cost Data'!$C$45,'Cost Data'!A100/76*'Income Data'!$H$6)</f>
        <v>57.276578947368414</v>
      </c>
      <c r="D100" s="606">
        <f>MAX('Cost Data'!$C$45,'Cost Data'!A100/60*'Income Data'!$H$7)</f>
        <v>112.80406666666667</v>
      </c>
      <c r="E100" s="607">
        <f t="shared" si="0"/>
        <v>35</v>
      </c>
      <c r="F100" s="8"/>
    </row>
    <row r="101" spans="1:6" x14ac:dyDescent="0.2">
      <c r="A101" s="603">
        <v>36</v>
      </c>
      <c r="B101" s="604">
        <f>MAX('Cost Data'!$C$45,'Cost Data'!A101/38*'Income Data'!$H$5)</f>
        <v>170.65781052631576</v>
      </c>
      <c r="C101" s="605">
        <f>MAX('Cost Data'!$C$45,'Cost Data'!A101/76*'Income Data'!$H$6)</f>
        <v>58.913052631578935</v>
      </c>
      <c r="D101" s="606">
        <f>MAX('Cost Data'!$C$45,'Cost Data'!A101/60*'Income Data'!$H$7)</f>
        <v>116.02704</v>
      </c>
      <c r="E101" s="607">
        <f t="shared" si="0"/>
        <v>35</v>
      </c>
      <c r="F101" s="8"/>
    </row>
    <row r="102" spans="1:6" x14ac:dyDescent="0.2">
      <c r="A102" s="603">
        <v>37</v>
      </c>
      <c r="B102" s="604">
        <f>MAX('Cost Data'!$C$45,'Cost Data'!A102/38*'Income Data'!$H$5)</f>
        <v>175.39830526315788</v>
      </c>
      <c r="C102" s="605">
        <f>MAX('Cost Data'!$C$45,'Cost Data'!A102/76*'Income Data'!$H$6)</f>
        <v>60.549526315789471</v>
      </c>
      <c r="D102" s="606">
        <f>MAX('Cost Data'!$C$45,'Cost Data'!A102/60*'Income Data'!$H$7)</f>
        <v>119.25001333333334</v>
      </c>
      <c r="E102" s="607">
        <f t="shared" si="0"/>
        <v>35</v>
      </c>
      <c r="F102" s="8"/>
    </row>
    <row r="103" spans="1:6" x14ac:dyDescent="0.2">
      <c r="A103" s="603">
        <v>38</v>
      </c>
      <c r="B103" s="604">
        <f>MAX('Cost Data'!$C$45,'Cost Data'!A103/38*'Income Data'!$H$5)</f>
        <v>180.13879999999997</v>
      </c>
      <c r="C103" s="605">
        <f>MAX('Cost Data'!$C$45,'Cost Data'!A103/76*'Income Data'!$H$6)</f>
        <v>62.185999999999993</v>
      </c>
      <c r="D103" s="606">
        <f>MAX('Cost Data'!$C$45,'Cost Data'!A103/60*'Income Data'!$H$7)</f>
        <v>122.47298666666666</v>
      </c>
      <c r="E103" s="607">
        <f t="shared" si="0"/>
        <v>35</v>
      </c>
      <c r="F103" s="8"/>
    </row>
    <row r="104" spans="1:6" x14ac:dyDescent="0.2">
      <c r="A104" s="603">
        <v>39</v>
      </c>
      <c r="B104" s="604">
        <f>MAX('Cost Data'!$C$45,('Cost Data'!A104-38)/38*'Income Data'!$H$5)</f>
        <v>35</v>
      </c>
      <c r="C104" s="605">
        <f>MAX('Cost Data'!$C$45,'Cost Data'!A104/76*'Income Data'!$H$6)</f>
        <v>63.822473684210522</v>
      </c>
      <c r="D104" s="606">
        <f>MAX('Cost Data'!$C$45,'Cost Data'!A104/60*'Income Data'!$H$7)</f>
        <v>125.69596</v>
      </c>
      <c r="E104" s="607">
        <f t="shared" si="0"/>
        <v>35</v>
      </c>
      <c r="F104" s="8"/>
    </row>
    <row r="105" spans="1:6" x14ac:dyDescent="0.2">
      <c r="A105" s="603">
        <v>40</v>
      </c>
      <c r="B105" s="604">
        <f>MAX('Cost Data'!$C$45,('Cost Data'!A105-38)/38*'Income Data'!$H$5)</f>
        <v>35</v>
      </c>
      <c r="C105" s="605">
        <f>MAX('Cost Data'!$C$45,'Cost Data'!A105/76*'Income Data'!$H$6)</f>
        <v>65.458947368421036</v>
      </c>
      <c r="D105" s="606">
        <f>MAX('Cost Data'!$C$45,'Cost Data'!A105/60*'Income Data'!$H$7)</f>
        <v>128.91893333333331</v>
      </c>
      <c r="E105" s="607">
        <f t="shared" si="0"/>
        <v>35</v>
      </c>
      <c r="F105" s="8"/>
    </row>
    <row r="106" spans="1:6" x14ac:dyDescent="0.2">
      <c r="A106" s="603">
        <v>41</v>
      </c>
      <c r="B106" s="604">
        <f>MAX('Cost Data'!$C$45,('Cost Data'!A106-38)/38*'Income Data'!$H$5)</f>
        <v>35</v>
      </c>
      <c r="C106" s="605">
        <f>MAX('Cost Data'!$C$45,'Cost Data'!A106/76*'Income Data'!$H$6)</f>
        <v>67.095421052631579</v>
      </c>
      <c r="D106" s="606">
        <f>MAX('Cost Data'!$C$45,'Cost Data'!A106/60*'Income Data'!$H$7)</f>
        <v>132.14190666666667</v>
      </c>
      <c r="E106" s="607">
        <f t="shared" si="0"/>
        <v>35</v>
      </c>
      <c r="F106" s="8"/>
    </row>
    <row r="107" spans="1:6" x14ac:dyDescent="0.2">
      <c r="A107" s="603">
        <v>42</v>
      </c>
      <c r="B107" s="604">
        <f>MAX('Cost Data'!$C$45,('Cost Data'!A107-38)/38*'Income Data'!$H$5)</f>
        <v>35</v>
      </c>
      <c r="C107" s="605">
        <f>MAX('Cost Data'!$C$45,'Cost Data'!A107/76*'Income Data'!$H$6)</f>
        <v>68.731894736842108</v>
      </c>
      <c r="D107" s="606">
        <f>MAX('Cost Data'!$C$45,'Cost Data'!A107/60*'Income Data'!$H$7)</f>
        <v>135.36488</v>
      </c>
      <c r="E107" s="607">
        <f t="shared" si="0"/>
        <v>35</v>
      </c>
      <c r="F107" s="8"/>
    </row>
    <row r="108" spans="1:6" x14ac:dyDescent="0.2">
      <c r="A108" s="603">
        <v>43</v>
      </c>
      <c r="B108" s="604">
        <f>MAX('Cost Data'!$C$45,('Cost Data'!A108-38)/38*'Income Data'!$H$5)</f>
        <v>35</v>
      </c>
      <c r="C108" s="605">
        <f>MAX('Cost Data'!$C$45,'Cost Data'!A108/76*'Income Data'!$H$6)</f>
        <v>70.368368421052622</v>
      </c>
      <c r="D108" s="606">
        <f>MAX('Cost Data'!$C$45,'Cost Data'!A108/60*'Income Data'!$H$7)</f>
        <v>138.58785333333333</v>
      </c>
      <c r="E108" s="607">
        <f t="shared" si="0"/>
        <v>35</v>
      </c>
      <c r="F108" s="8"/>
    </row>
    <row r="109" spans="1:6" x14ac:dyDescent="0.2">
      <c r="A109" s="603">
        <v>44</v>
      </c>
      <c r="B109" s="604">
        <f>MAX('Cost Data'!$C$45,('Cost Data'!A109-38)/38*'Income Data'!$H$5)</f>
        <v>35</v>
      </c>
      <c r="C109" s="605">
        <f>MAX('Cost Data'!$C$45,'Cost Data'!A109/76*'Income Data'!$H$6)</f>
        <v>72.004842105263151</v>
      </c>
      <c r="D109" s="606">
        <f>MAX('Cost Data'!$C$45,'Cost Data'!A109/60*'Income Data'!$H$7)</f>
        <v>141.81082666666666</v>
      </c>
      <c r="E109" s="607">
        <f t="shared" si="0"/>
        <v>35</v>
      </c>
      <c r="F109" s="8"/>
    </row>
    <row r="110" spans="1:6" x14ac:dyDescent="0.2">
      <c r="A110" s="603">
        <v>45</v>
      </c>
      <c r="B110" s="604">
        <f>MAX('Cost Data'!$C$45,('Cost Data'!A110-38)/38*'Income Data'!$H$5)</f>
        <v>35</v>
      </c>
      <c r="C110" s="605">
        <f>MAX('Cost Data'!$C$45,'Cost Data'!A110/76*'Income Data'!$H$6)</f>
        <v>73.641315789473666</v>
      </c>
      <c r="D110" s="606">
        <f>MAX('Cost Data'!$C$45,'Cost Data'!A110/60*'Income Data'!$H$7)</f>
        <v>145.03379999999999</v>
      </c>
      <c r="E110" s="607">
        <f t="shared" si="0"/>
        <v>35</v>
      </c>
      <c r="F110" s="8"/>
    </row>
    <row r="111" spans="1:6" x14ac:dyDescent="0.2">
      <c r="A111" s="603">
        <v>46</v>
      </c>
      <c r="B111" s="604">
        <f>MAX('Cost Data'!$C$45,('Cost Data'!A111-38)/38*'Income Data'!$H$5)</f>
        <v>37.923957894736837</v>
      </c>
      <c r="C111" s="605">
        <f>MAX('Cost Data'!$C$45,'Cost Data'!A111/76*'Income Data'!$H$6)</f>
        <v>75.277789473684194</v>
      </c>
      <c r="D111" s="606">
        <f>MAX('Cost Data'!$C$45,'Cost Data'!A111/60*'Income Data'!$H$7)</f>
        <v>148.25677333333334</v>
      </c>
      <c r="E111" s="607">
        <f t="shared" si="0"/>
        <v>35</v>
      </c>
      <c r="F111" s="8"/>
    </row>
    <row r="112" spans="1:6" x14ac:dyDescent="0.2">
      <c r="A112" s="603">
        <v>47</v>
      </c>
      <c r="B112" s="604">
        <f>MAX('Cost Data'!$C$45,('Cost Data'!A112-38)/38*'Income Data'!$H$5)</f>
        <v>42.664452631578939</v>
      </c>
      <c r="C112" s="605">
        <f>MAX('Cost Data'!$C$45,'Cost Data'!A112/76*'Income Data'!$H$6)</f>
        <v>76.914263157894737</v>
      </c>
      <c r="D112" s="606">
        <f>MAX('Cost Data'!$C$45,'Cost Data'!A112/60*'Income Data'!$H$7)</f>
        <v>151.47974666666667</v>
      </c>
      <c r="E112" s="607">
        <f t="shared" si="0"/>
        <v>35</v>
      </c>
      <c r="F112" s="8"/>
    </row>
    <row r="113" spans="1:6" x14ac:dyDescent="0.2">
      <c r="A113" s="603">
        <v>48</v>
      </c>
      <c r="B113" s="604">
        <f>MAX('Cost Data'!$C$45,('Cost Data'!A113-38)/38*'Income Data'!$H$5)</f>
        <v>47.404947368421041</v>
      </c>
      <c r="C113" s="605">
        <f>MAX('Cost Data'!$C$45,'Cost Data'!A113/76*'Income Data'!$H$6)</f>
        <v>78.550736842105252</v>
      </c>
      <c r="D113" s="606">
        <f>MAX('Cost Data'!$C$45,'Cost Data'!A113/60*'Income Data'!$H$7)</f>
        <v>154.70272</v>
      </c>
      <c r="E113" s="607">
        <f t="shared" si="0"/>
        <v>35</v>
      </c>
      <c r="F113" s="8"/>
    </row>
    <row r="114" spans="1:6" x14ac:dyDescent="0.2">
      <c r="A114" s="603">
        <v>49</v>
      </c>
      <c r="B114" s="604">
        <f>MAX('Cost Data'!$C$45,('Cost Data'!A114-38)/38*'Income Data'!$H$5)</f>
        <v>52.14544210526315</v>
      </c>
      <c r="C114" s="605">
        <f>MAX('Cost Data'!$C$45,'Cost Data'!A114/76*'Income Data'!$H$6)</f>
        <v>80.187210526315781</v>
      </c>
      <c r="D114" s="606">
        <f>MAX('Cost Data'!$C$45,'Cost Data'!A114/60*'Income Data'!$H$7)</f>
        <v>157.92569333333333</v>
      </c>
      <c r="E114" s="607">
        <f t="shared" si="0"/>
        <v>35</v>
      </c>
      <c r="F114" s="8"/>
    </row>
    <row r="115" spans="1:6" x14ac:dyDescent="0.2">
      <c r="A115" s="603">
        <v>50</v>
      </c>
      <c r="B115" s="604">
        <f>MAX('Cost Data'!$C$45,('Cost Data'!A115-38)/38*'Income Data'!$H$5)</f>
        <v>56.885936842105252</v>
      </c>
      <c r="C115" s="605">
        <f>MAX('Cost Data'!$C$45,'Cost Data'!A115/76*'Income Data'!$H$6)</f>
        <v>81.823684210526309</v>
      </c>
      <c r="D115" s="606">
        <f>MAX('Cost Data'!$C$45,'Cost Data'!A115/60*'Income Data'!$H$7)</f>
        <v>161.14866666666668</v>
      </c>
      <c r="E115" s="607">
        <f t="shared" si="0"/>
        <v>35</v>
      </c>
      <c r="F115" s="8"/>
    </row>
    <row r="116" spans="1:6" x14ac:dyDescent="0.2">
      <c r="A116" s="603">
        <v>51</v>
      </c>
      <c r="B116" s="604">
        <f>MAX('Cost Data'!$C$45,('Cost Data'!A116-38)/38*'Income Data'!$H$5)</f>
        <v>61.626431578947361</v>
      </c>
      <c r="C116" s="605">
        <f>MAX('Cost Data'!$C$45,'Cost Data'!A116/76*'Income Data'!$H$6)</f>
        <v>83.460157894736824</v>
      </c>
      <c r="D116" s="606">
        <f>MAX('Cost Data'!$C$45,'Cost Data'!A116/60*'Income Data'!$H$7)</f>
        <v>164.37163999999999</v>
      </c>
      <c r="E116" s="607">
        <f t="shared" si="0"/>
        <v>35</v>
      </c>
      <c r="F116" s="8"/>
    </row>
    <row r="117" spans="1:6" x14ac:dyDescent="0.2">
      <c r="A117" s="603">
        <v>52</v>
      </c>
      <c r="B117" s="604">
        <f>MAX('Cost Data'!$C$45,('Cost Data'!A117-38)/38*'Income Data'!$H$5)</f>
        <v>66.366926315789456</v>
      </c>
      <c r="C117" s="605">
        <f>MAX('Cost Data'!$C$45,'Cost Data'!A117/76*'Income Data'!$H$6)</f>
        <v>85.096631578947367</v>
      </c>
      <c r="D117" s="606">
        <f>MAX('Cost Data'!$C$45,'Cost Data'!A117/60*'Income Data'!$H$7)</f>
        <v>167.59461333333334</v>
      </c>
      <c r="E117" s="607">
        <f t="shared" si="0"/>
        <v>35</v>
      </c>
      <c r="F117" s="8"/>
    </row>
    <row r="118" spans="1:6" x14ac:dyDescent="0.2">
      <c r="A118" s="603">
        <v>53</v>
      </c>
      <c r="B118" s="604">
        <f>MAX('Cost Data'!$C$45,('Cost Data'!A118-38)/38*'Income Data'!$H$5)</f>
        <v>71.107421052631565</v>
      </c>
      <c r="C118" s="605">
        <f>MAX('Cost Data'!$C$45,'Cost Data'!A118/76*'Income Data'!$H$6)</f>
        <v>86.733105263157881</v>
      </c>
      <c r="D118" s="606">
        <f>MAX('Cost Data'!$C$45,'Cost Data'!A118/60*'Income Data'!$H$7)</f>
        <v>170.81758666666667</v>
      </c>
      <c r="E118" s="607">
        <f t="shared" si="0"/>
        <v>35</v>
      </c>
      <c r="F118" s="8"/>
    </row>
    <row r="119" spans="1:6" x14ac:dyDescent="0.2">
      <c r="A119" s="603">
        <v>54</v>
      </c>
      <c r="B119" s="604">
        <f>MAX('Cost Data'!$C$45,('Cost Data'!A119-38)/38*'Income Data'!$H$5)</f>
        <v>75.847915789473674</v>
      </c>
      <c r="C119" s="605">
        <f>MAX('Cost Data'!$C$45,'Cost Data'!A119/76*'Income Data'!$H$6)</f>
        <v>88.36957894736841</v>
      </c>
      <c r="D119" s="606">
        <f>MAX('Cost Data'!$C$45,'Cost Data'!A119/60*'Income Data'!$H$7)</f>
        <v>174.04056</v>
      </c>
      <c r="E119" s="607">
        <f t="shared" si="0"/>
        <v>35</v>
      </c>
      <c r="F119" s="8"/>
    </row>
    <row r="120" spans="1:6" x14ac:dyDescent="0.2">
      <c r="A120" s="603">
        <v>55</v>
      </c>
      <c r="B120" s="604">
        <f>MAX('Cost Data'!$C$45,('Cost Data'!A120-38)/38*'Income Data'!$H$5)</f>
        <v>80.588410526315783</v>
      </c>
      <c r="C120" s="605">
        <f>MAX('Cost Data'!$C$45,'Cost Data'!A120/76*'Income Data'!$H$6)</f>
        <v>90.006052631578939</v>
      </c>
      <c r="D120" s="606">
        <f>MAX('Cost Data'!$C$45,'Cost Data'!A120/60*'Income Data'!$H$7)</f>
        <v>177.26353333333333</v>
      </c>
      <c r="E120" s="607">
        <f t="shared" si="0"/>
        <v>35</v>
      </c>
      <c r="F120" s="8"/>
    </row>
    <row r="121" spans="1:6" x14ac:dyDescent="0.2">
      <c r="A121" s="603">
        <v>56</v>
      </c>
      <c r="B121" s="604">
        <f>MAX('Cost Data'!$C$45,('Cost Data'!A121-38)/38*'Income Data'!$H$5)</f>
        <v>85.328905263157878</v>
      </c>
      <c r="C121" s="605">
        <f>MAX('Cost Data'!$C$45,'Cost Data'!A121/76*'Income Data'!$H$6)</f>
        <v>91.642526315789453</v>
      </c>
      <c r="D121" s="606">
        <f>MAX('Cost Data'!$C$45,'Cost Data'!A121/60*'Income Data'!$H$7)</f>
        <v>180.48650666666666</v>
      </c>
      <c r="E121" s="607">
        <f t="shared" si="0"/>
        <v>35</v>
      </c>
      <c r="F121" s="8"/>
    </row>
    <row r="122" spans="1:6" x14ac:dyDescent="0.2">
      <c r="A122" s="603">
        <v>57</v>
      </c>
      <c r="B122" s="604">
        <f>MAX('Cost Data'!$C$45,('Cost Data'!A122-38)/38*'Income Data'!$H$5)</f>
        <v>90.069399999999987</v>
      </c>
      <c r="C122" s="605">
        <f>MAX('Cost Data'!$C$45,'Cost Data'!A122/76*'Income Data'!$H$6)</f>
        <v>93.278999999999996</v>
      </c>
      <c r="D122" s="606">
        <f>MAX('Cost Data'!$C$45,'Cost Data'!A122/60*'Income Data'!$H$7)</f>
        <v>183.70947999999999</v>
      </c>
      <c r="E122" s="607">
        <f t="shared" si="0"/>
        <v>35</v>
      </c>
      <c r="F122" s="8"/>
    </row>
    <row r="123" spans="1:6" x14ac:dyDescent="0.2">
      <c r="A123" s="603">
        <v>58</v>
      </c>
      <c r="B123" s="604">
        <f>MAX('Cost Data'!$C$45,('Cost Data'!A123-38)/38*'Income Data'!$H$5)</f>
        <v>94.809894736842082</v>
      </c>
      <c r="C123" s="605">
        <f>MAX('Cost Data'!$C$45,'Cost Data'!A123/76*'Income Data'!$H$6)</f>
        <v>94.915473684210525</v>
      </c>
      <c r="D123" s="606">
        <f>MAX('Cost Data'!$C$45,'Cost Data'!A123/60*'Income Data'!$H$7)</f>
        <v>186.93245333333334</v>
      </c>
      <c r="E123" s="607">
        <f t="shared" si="0"/>
        <v>35</v>
      </c>
      <c r="F123" s="8"/>
    </row>
    <row r="124" spans="1:6" x14ac:dyDescent="0.2">
      <c r="A124" s="603">
        <v>59</v>
      </c>
      <c r="B124" s="604">
        <f>MAX('Cost Data'!$C$45,('Cost Data'!A124-38)/38*'Income Data'!$H$5)</f>
        <v>99.550389473684206</v>
      </c>
      <c r="C124" s="605">
        <f>MAX('Cost Data'!$C$45,'Cost Data'!A124/76*'Income Data'!$H$6)</f>
        <v>96.55194736842104</v>
      </c>
      <c r="D124" s="606">
        <f>MAX('Cost Data'!$C$45,'Cost Data'!A124/60*'Income Data'!$H$7)</f>
        <v>190.15542666666664</v>
      </c>
      <c r="E124" s="607">
        <f t="shared" si="0"/>
        <v>35</v>
      </c>
      <c r="F124" s="8"/>
    </row>
    <row r="125" spans="1:6" x14ac:dyDescent="0.2">
      <c r="A125" s="603">
        <v>60</v>
      </c>
      <c r="B125" s="604">
        <f>MAX('Cost Data'!$C$45,('Cost Data'!A125-38)/38*'Income Data'!$H$5)</f>
        <v>104.2908842105263</v>
      </c>
      <c r="C125" s="605">
        <f>MAX('Cost Data'!$C$45,'Cost Data'!A125/76*'Income Data'!$H$6)</f>
        <v>98.188421052631568</v>
      </c>
      <c r="D125" s="606">
        <f>MAX('Cost Data'!$C$45,'Cost Data'!A125/60*'Income Data'!$H$7)</f>
        <v>193.3784</v>
      </c>
      <c r="E125" s="607">
        <f t="shared" si="0"/>
        <v>35</v>
      </c>
      <c r="F125" s="8"/>
    </row>
    <row r="126" spans="1:6" x14ac:dyDescent="0.2">
      <c r="A126" s="603">
        <v>61</v>
      </c>
      <c r="B126" s="604">
        <f>MAX('Cost Data'!$C$45,('Cost Data'!A126-38)/38*'Income Data'!$H$5)</f>
        <v>109.03137894736841</v>
      </c>
      <c r="C126" s="605">
        <f>MAX('Cost Data'!$C$45,'Cost Data'!A126/76*'Income Data'!$H$6)</f>
        <v>99.824894736842097</v>
      </c>
      <c r="D126" s="606">
        <f>MAX('Cost Data'!$C$45,('Cost Data'!A126-60)/60*'Income Data'!$H$7)</f>
        <v>35</v>
      </c>
      <c r="E126" s="607">
        <f t="shared" si="0"/>
        <v>35</v>
      </c>
      <c r="F126" s="8"/>
    </row>
    <row r="127" spans="1:6" x14ac:dyDescent="0.2">
      <c r="A127" s="603">
        <v>62</v>
      </c>
      <c r="B127" s="604">
        <f>MAX('Cost Data'!$C$45,('Cost Data'!A127-38)/38*'Income Data'!$H$5)</f>
        <v>113.7718736842105</v>
      </c>
      <c r="C127" s="605">
        <f>MAX('Cost Data'!$C$45,'Cost Data'!A127/76*'Income Data'!$H$6)</f>
        <v>101.46136842105261</v>
      </c>
      <c r="D127" s="606">
        <f>MAX('Cost Data'!$C$45,('Cost Data'!A127-60)/60*'Income Data'!$H$7)</f>
        <v>35</v>
      </c>
      <c r="E127" s="607">
        <f t="shared" si="0"/>
        <v>35</v>
      </c>
      <c r="F127" s="8"/>
    </row>
    <row r="128" spans="1:6" x14ac:dyDescent="0.2">
      <c r="A128" s="603">
        <v>63</v>
      </c>
      <c r="B128" s="604">
        <f>MAX('Cost Data'!$C$45,('Cost Data'!A128-38)/38*'Income Data'!$H$5)</f>
        <v>118.51236842105263</v>
      </c>
      <c r="C128" s="605">
        <f>MAX('Cost Data'!$C$45,'Cost Data'!A128/76*'Income Data'!$H$6)</f>
        <v>103.09784210526315</v>
      </c>
      <c r="D128" s="606">
        <f>MAX('Cost Data'!$C$45,('Cost Data'!A128-60)/60*'Income Data'!$H$7)</f>
        <v>35</v>
      </c>
      <c r="E128" s="607">
        <f t="shared" si="0"/>
        <v>35</v>
      </c>
      <c r="F128" s="8"/>
    </row>
    <row r="129" spans="1:6" x14ac:dyDescent="0.2">
      <c r="A129" s="603">
        <v>64</v>
      </c>
      <c r="B129" s="604">
        <f>MAX('Cost Data'!$C$45,('Cost Data'!A129-38)/38*'Income Data'!$H$5)</f>
        <v>123.25286315789472</v>
      </c>
      <c r="C129" s="605">
        <f>MAX('Cost Data'!$C$45,'Cost Data'!A129/76*'Income Data'!$H$6)</f>
        <v>104.73431578947367</v>
      </c>
      <c r="D129" s="606">
        <f>MAX('Cost Data'!$C$45,('Cost Data'!A129-60)/60*'Income Data'!$H$7)</f>
        <v>35</v>
      </c>
      <c r="E129" s="607">
        <f t="shared" si="0"/>
        <v>35</v>
      </c>
      <c r="F129" s="8"/>
    </row>
    <row r="130" spans="1:6" x14ac:dyDescent="0.2">
      <c r="A130" s="603">
        <v>65</v>
      </c>
      <c r="B130" s="604">
        <f>MAX('Cost Data'!$C$45,('Cost Data'!A130-38)/38*'Income Data'!$H$5)</f>
        <v>127.99335789473682</v>
      </c>
      <c r="C130" s="605">
        <f>MAX('Cost Data'!$C$45,'Cost Data'!A130/76*'Income Data'!$H$6)</f>
        <v>106.3707894736842</v>
      </c>
      <c r="D130" s="606">
        <f>MAX('Cost Data'!$C$45,('Cost Data'!A130-60)/60*'Income Data'!$H$7)</f>
        <v>35</v>
      </c>
      <c r="E130" s="607">
        <f t="shared" si="0"/>
        <v>35</v>
      </c>
      <c r="F130" s="8"/>
    </row>
    <row r="131" spans="1:6" x14ac:dyDescent="0.2">
      <c r="A131" s="603">
        <v>66</v>
      </c>
      <c r="B131" s="604">
        <f>MAX('Cost Data'!$C$45,('Cost Data'!A131-38)/38*'Income Data'!$H$5)</f>
        <v>132.73385263157891</v>
      </c>
      <c r="C131" s="605">
        <f>MAX('Cost Data'!$C$45,'Cost Data'!A131/76*'Income Data'!$H$6)</f>
        <v>108.00726315789473</v>
      </c>
      <c r="D131" s="606">
        <f>MAX('Cost Data'!$C$45,('Cost Data'!A131-60)/60*'Income Data'!$H$7)</f>
        <v>35</v>
      </c>
      <c r="E131" s="607">
        <f t="shared" ref="E131:E165" si="1">$C$45</f>
        <v>35</v>
      </c>
      <c r="F131" s="8"/>
    </row>
    <row r="132" spans="1:6" x14ac:dyDescent="0.2">
      <c r="A132" s="603">
        <v>67</v>
      </c>
      <c r="B132" s="604">
        <f>MAX('Cost Data'!$C$45,('Cost Data'!A132-38)/38*'Income Data'!$H$5)</f>
        <v>137.47434736842104</v>
      </c>
      <c r="C132" s="605">
        <f>MAX('Cost Data'!$C$45,'Cost Data'!A132/76*'Income Data'!$H$6)</f>
        <v>109.64373684210524</v>
      </c>
      <c r="D132" s="606">
        <f>MAX('Cost Data'!$C$45,('Cost Data'!A132-60)/60*'Income Data'!$H$7)</f>
        <v>35</v>
      </c>
      <c r="E132" s="607">
        <f t="shared" si="1"/>
        <v>35</v>
      </c>
      <c r="F132" s="8"/>
    </row>
    <row r="133" spans="1:6" x14ac:dyDescent="0.2">
      <c r="A133" s="603">
        <v>68</v>
      </c>
      <c r="B133" s="604">
        <f>MAX('Cost Data'!$C$45,('Cost Data'!A133-38)/38*'Income Data'!$H$5)</f>
        <v>142.21484210526313</v>
      </c>
      <c r="C133" s="605">
        <f>MAX('Cost Data'!$C$45,'Cost Data'!A133/76*'Income Data'!$H$6)</f>
        <v>111.28021052631578</v>
      </c>
      <c r="D133" s="606">
        <f>MAX('Cost Data'!$C$45,('Cost Data'!A133-60)/60*'Income Data'!$H$7)</f>
        <v>35</v>
      </c>
      <c r="E133" s="607">
        <f t="shared" si="1"/>
        <v>35</v>
      </c>
      <c r="F133" s="8"/>
    </row>
    <row r="134" spans="1:6" x14ac:dyDescent="0.2">
      <c r="A134" s="603">
        <v>69</v>
      </c>
      <c r="B134" s="604">
        <f>MAX('Cost Data'!$C$45,('Cost Data'!A134-38)/38*'Income Data'!$H$5)</f>
        <v>146.95533684210523</v>
      </c>
      <c r="C134" s="605">
        <f>MAX('Cost Data'!$C$45,'Cost Data'!A134/76*'Income Data'!$H$6)</f>
        <v>112.91668421052631</v>
      </c>
      <c r="D134" s="606">
        <f>MAX('Cost Data'!$C$45,('Cost Data'!A134-60)/60*'Income Data'!$H$7)</f>
        <v>35</v>
      </c>
      <c r="E134" s="607">
        <f t="shared" si="1"/>
        <v>35</v>
      </c>
      <c r="F134" s="8"/>
    </row>
    <row r="135" spans="1:6" x14ac:dyDescent="0.2">
      <c r="A135" s="603">
        <v>70</v>
      </c>
      <c r="B135" s="604">
        <f>MAX('Cost Data'!$C$45,('Cost Data'!A135-38)/38*'Income Data'!$H$5)</f>
        <v>151.69583157894735</v>
      </c>
      <c r="C135" s="605">
        <f>MAX('Cost Data'!$C$45,'Cost Data'!A135/76*'Income Data'!$H$6)</f>
        <v>114.55315789473683</v>
      </c>
      <c r="D135" s="606">
        <f>MAX('Cost Data'!$C$45,('Cost Data'!A135-60)/60*'Income Data'!$H$7)</f>
        <v>35</v>
      </c>
      <c r="E135" s="607">
        <f t="shared" si="1"/>
        <v>35</v>
      </c>
      <c r="F135" s="8"/>
    </row>
    <row r="136" spans="1:6" x14ac:dyDescent="0.2">
      <c r="A136" s="603">
        <v>71</v>
      </c>
      <c r="B136" s="604">
        <f>MAX('Cost Data'!$C$45,('Cost Data'!A136-38)/38*'Income Data'!$H$5)</f>
        <v>156.43632631578947</v>
      </c>
      <c r="C136" s="605">
        <f>MAX('Cost Data'!$C$45,'Cost Data'!A136/76*'Income Data'!$H$6)</f>
        <v>116.18963157894736</v>
      </c>
      <c r="D136" s="606">
        <f>MAX('Cost Data'!$C$45,('Cost Data'!A136-60)/60*'Income Data'!$H$7)</f>
        <v>35.452706666666664</v>
      </c>
      <c r="E136" s="607">
        <f t="shared" si="1"/>
        <v>35</v>
      </c>
      <c r="F136" s="8"/>
    </row>
    <row r="137" spans="1:6" x14ac:dyDescent="0.2">
      <c r="A137" s="603">
        <v>72</v>
      </c>
      <c r="B137" s="604">
        <f>MAX('Cost Data'!$C$45,('Cost Data'!A137-38)/38*'Income Data'!$H$5)</f>
        <v>161.17682105263157</v>
      </c>
      <c r="C137" s="605">
        <f>MAX('Cost Data'!$C$45,'Cost Data'!A137/76*'Income Data'!$H$6)</f>
        <v>117.82610526315787</v>
      </c>
      <c r="D137" s="606">
        <f>MAX('Cost Data'!$C$45,('Cost Data'!A137-60)/60*'Income Data'!$H$7)</f>
        <v>38.67568</v>
      </c>
      <c r="E137" s="607">
        <f t="shared" si="1"/>
        <v>35</v>
      </c>
      <c r="F137" s="8"/>
    </row>
    <row r="138" spans="1:6" x14ac:dyDescent="0.2">
      <c r="A138" s="603">
        <v>73</v>
      </c>
      <c r="B138" s="604">
        <f>MAX('Cost Data'!$C$45,('Cost Data'!A138-38)/38*'Income Data'!$H$5)</f>
        <v>165.91731578947366</v>
      </c>
      <c r="C138" s="605">
        <f>MAX('Cost Data'!$C$45,'Cost Data'!A138/76*'Income Data'!$H$6)</f>
        <v>119.4625789473684</v>
      </c>
      <c r="D138" s="606">
        <f>MAX('Cost Data'!$C$45,('Cost Data'!A138-60)/60*'Income Data'!$H$7)</f>
        <v>41.898653333333336</v>
      </c>
      <c r="E138" s="607">
        <f t="shared" si="1"/>
        <v>35</v>
      </c>
      <c r="F138" s="8"/>
    </row>
    <row r="139" spans="1:6" x14ac:dyDescent="0.2">
      <c r="A139" s="603">
        <v>74</v>
      </c>
      <c r="B139" s="604">
        <f>MAX('Cost Data'!$C$45,('Cost Data'!A139-38)/38*'Income Data'!$H$5)</f>
        <v>170.65781052631576</v>
      </c>
      <c r="C139" s="605">
        <f>MAX('Cost Data'!$C$45,'Cost Data'!A139/76*'Income Data'!$H$6)</f>
        <v>121.09905263157894</v>
      </c>
      <c r="D139" s="606">
        <f>MAX('Cost Data'!$C$45,('Cost Data'!A139-60)/60*'Income Data'!$H$7)</f>
        <v>45.121626666666664</v>
      </c>
      <c r="E139" s="607">
        <f t="shared" si="1"/>
        <v>35</v>
      </c>
      <c r="F139" s="8"/>
    </row>
    <row r="140" spans="1:6" x14ac:dyDescent="0.2">
      <c r="A140" s="603">
        <v>75</v>
      </c>
      <c r="B140" s="604">
        <f>MAX('Cost Data'!$C$45,('Cost Data'!A140-38)/38*'Income Data'!$H$5)</f>
        <v>175.39830526315788</v>
      </c>
      <c r="C140" s="605">
        <f>MAX('Cost Data'!$C$45,'Cost Data'!A140/76*'Income Data'!$H$6)</f>
        <v>122.73552631578946</v>
      </c>
      <c r="D140" s="606">
        <f>MAX('Cost Data'!$C$45,('Cost Data'!A140-60)/60*'Income Data'!$H$7)</f>
        <v>48.3446</v>
      </c>
      <c r="E140" s="607">
        <f t="shared" si="1"/>
        <v>35</v>
      </c>
      <c r="F140" s="8"/>
    </row>
    <row r="141" spans="1:6" x14ac:dyDescent="0.2">
      <c r="A141" s="603">
        <v>76</v>
      </c>
      <c r="B141" s="604">
        <f>MAX('Cost Data'!$C$45,('Cost Data'!A141-38)/38*'Income Data'!$H$5)</f>
        <v>180.13879999999997</v>
      </c>
      <c r="C141" s="605">
        <f>MAX('Cost Data'!$C$45,'Cost Data'!A141/76*'Income Data'!$H$6)</f>
        <v>124.37199999999999</v>
      </c>
      <c r="D141" s="606">
        <f>MAX('Cost Data'!$C$45,('Cost Data'!A141-60)/60*'Income Data'!$H$7)</f>
        <v>51.567573333333335</v>
      </c>
      <c r="E141" s="607">
        <f t="shared" si="1"/>
        <v>35</v>
      </c>
      <c r="F141" s="8"/>
    </row>
    <row r="142" spans="1:6" x14ac:dyDescent="0.2">
      <c r="A142" s="603">
        <v>77</v>
      </c>
      <c r="B142" s="604">
        <f>MAX('Cost Data'!$C$45,('Cost Data'!A142-2*38)/38*'Income Data'!$H$5)</f>
        <v>35</v>
      </c>
      <c r="C142" s="605">
        <f>MAX('Cost Data'!$C$45,('Cost Data'!A142-76)/76*'Income Data'!$H$6)</f>
        <v>35</v>
      </c>
      <c r="D142" s="606">
        <f>MAX('Cost Data'!$C$45,('Cost Data'!A142-60)/60*'Income Data'!$H$7)</f>
        <v>54.790546666666664</v>
      </c>
      <c r="E142" s="607">
        <f t="shared" si="1"/>
        <v>35</v>
      </c>
      <c r="F142" s="8"/>
    </row>
    <row r="143" spans="1:6" x14ac:dyDescent="0.2">
      <c r="A143" s="603">
        <v>78</v>
      </c>
      <c r="B143" s="604">
        <f>MAX('Cost Data'!$C$45,('Cost Data'!A143-2*38)/38*'Income Data'!$H$5)</f>
        <v>35</v>
      </c>
      <c r="C143" s="605">
        <f>MAX('Cost Data'!$C$45,('Cost Data'!A143-76)/76*'Income Data'!$H$6)</f>
        <v>35</v>
      </c>
      <c r="D143" s="606">
        <f>MAX('Cost Data'!$C$45,('Cost Data'!A143-60)/60*'Income Data'!$H$7)</f>
        <v>58.01352</v>
      </c>
      <c r="E143" s="607">
        <f t="shared" si="1"/>
        <v>35</v>
      </c>
      <c r="F143" s="8"/>
    </row>
    <row r="144" spans="1:6" x14ac:dyDescent="0.2">
      <c r="A144" s="603">
        <v>79</v>
      </c>
      <c r="B144" s="604">
        <f>MAX('Cost Data'!$C$45,('Cost Data'!A144-2*38)/38*'Income Data'!$H$5)</f>
        <v>35</v>
      </c>
      <c r="C144" s="605">
        <f>MAX('Cost Data'!$C$45,('Cost Data'!A144-76)/76*'Income Data'!$H$6)</f>
        <v>35</v>
      </c>
      <c r="D144" s="606">
        <f>MAX('Cost Data'!$C$45,('Cost Data'!A144-60)/60*'Income Data'!$H$7)</f>
        <v>61.236493333333328</v>
      </c>
      <c r="E144" s="607">
        <f t="shared" si="1"/>
        <v>35</v>
      </c>
      <c r="F144" s="8"/>
    </row>
    <row r="145" spans="1:6" x14ac:dyDescent="0.2">
      <c r="A145" s="603">
        <v>80</v>
      </c>
      <c r="B145" s="604">
        <f>MAX('Cost Data'!$C$45,('Cost Data'!A145-2*38)/38*'Income Data'!$H$5)</f>
        <v>35</v>
      </c>
      <c r="C145" s="605">
        <f>MAX('Cost Data'!$C$45,('Cost Data'!A145-76)/76*'Income Data'!$H$6)</f>
        <v>35</v>
      </c>
      <c r="D145" s="606">
        <f>MAX('Cost Data'!$C$45,('Cost Data'!A145-60)/60*'Income Data'!$H$7)</f>
        <v>64.459466666666657</v>
      </c>
      <c r="E145" s="607">
        <f t="shared" si="1"/>
        <v>35</v>
      </c>
      <c r="F145" s="8"/>
    </row>
    <row r="146" spans="1:6" x14ac:dyDescent="0.2">
      <c r="A146" s="603">
        <v>81</v>
      </c>
      <c r="B146" s="604">
        <f>MAX('Cost Data'!$C$45,('Cost Data'!A146-2*38)/38*'Income Data'!$H$5)</f>
        <v>35</v>
      </c>
      <c r="C146" s="605">
        <f>MAX('Cost Data'!$C$45,('Cost Data'!A146-76)/76*'Income Data'!$H$6)</f>
        <v>35</v>
      </c>
      <c r="D146" s="606">
        <f>MAX('Cost Data'!$C$45,('Cost Data'!A146-60)/60*'Income Data'!$H$7)</f>
        <v>67.68244</v>
      </c>
      <c r="E146" s="607">
        <f t="shared" si="1"/>
        <v>35</v>
      </c>
      <c r="F146" s="8"/>
    </row>
    <row r="147" spans="1:6" x14ac:dyDescent="0.2">
      <c r="A147" s="603">
        <v>82</v>
      </c>
      <c r="B147" s="604">
        <f>MAX('Cost Data'!$C$45,('Cost Data'!A147-2*38)/38*'Income Data'!$H$5)</f>
        <v>35</v>
      </c>
      <c r="C147" s="605">
        <f>MAX('Cost Data'!$C$45,('Cost Data'!A147-76)/76*'Income Data'!$H$6)</f>
        <v>35</v>
      </c>
      <c r="D147" s="606">
        <f>MAX('Cost Data'!$C$45,('Cost Data'!A147-60)/60*'Income Data'!$H$7)</f>
        <v>70.905413333333328</v>
      </c>
      <c r="E147" s="607">
        <f t="shared" si="1"/>
        <v>35</v>
      </c>
      <c r="F147" s="8"/>
    </row>
    <row r="148" spans="1:6" x14ac:dyDescent="0.2">
      <c r="A148" s="603">
        <v>83</v>
      </c>
      <c r="B148" s="604">
        <f>MAX('Cost Data'!$C$45,('Cost Data'!A148-2*38)/38*'Income Data'!$H$5)</f>
        <v>35</v>
      </c>
      <c r="C148" s="605">
        <f>MAX('Cost Data'!$C$45,('Cost Data'!A148-76)/76*'Income Data'!$H$6)</f>
        <v>35</v>
      </c>
      <c r="D148" s="606">
        <f>MAX('Cost Data'!$C$45,('Cost Data'!A148-60)/60*'Income Data'!$H$7)</f>
        <v>74.128386666666671</v>
      </c>
      <c r="E148" s="607">
        <f t="shared" si="1"/>
        <v>35</v>
      </c>
      <c r="F148" s="8"/>
    </row>
    <row r="149" spans="1:6" x14ac:dyDescent="0.2">
      <c r="A149" s="603">
        <v>84</v>
      </c>
      <c r="B149" s="604">
        <f>MAX('Cost Data'!$C$45,('Cost Data'!A149-2*38)/38*'Income Data'!$H$5)</f>
        <v>37.923957894736837</v>
      </c>
      <c r="C149" s="605">
        <f>MAX('Cost Data'!$C$45,('Cost Data'!A149-76)/76*'Income Data'!$H$6)</f>
        <v>35</v>
      </c>
      <c r="D149" s="606">
        <f>MAX('Cost Data'!$C$45,('Cost Data'!A149-60)/60*'Income Data'!$H$7)</f>
        <v>77.35136</v>
      </c>
      <c r="E149" s="607">
        <f t="shared" si="1"/>
        <v>35</v>
      </c>
      <c r="F149" s="8"/>
    </row>
    <row r="150" spans="1:6" x14ac:dyDescent="0.2">
      <c r="A150" s="603">
        <v>85</v>
      </c>
      <c r="B150" s="604">
        <f>MAX('Cost Data'!$C$45,('Cost Data'!A150-2*38)/38*'Income Data'!$H$5)</f>
        <v>42.664452631578939</v>
      </c>
      <c r="C150" s="605">
        <f>MAX('Cost Data'!$C$45,('Cost Data'!A150-76)/76*'Income Data'!$H$6)</f>
        <v>35</v>
      </c>
      <c r="D150" s="606">
        <f>MAX('Cost Data'!$C$45,('Cost Data'!A150-60)/60*'Income Data'!$H$7)</f>
        <v>80.574333333333342</v>
      </c>
      <c r="E150" s="607">
        <f t="shared" si="1"/>
        <v>35</v>
      </c>
      <c r="F150" s="8"/>
    </row>
    <row r="151" spans="1:6" x14ac:dyDescent="0.2">
      <c r="A151" s="603">
        <v>86</v>
      </c>
      <c r="B151" s="604">
        <f>MAX('Cost Data'!$C$45,('Cost Data'!A151-2*38)/38*'Income Data'!$H$5)</f>
        <v>47.404947368421041</v>
      </c>
      <c r="C151" s="605">
        <f>MAX('Cost Data'!$C$45,('Cost Data'!A151-76)/76*'Income Data'!$H$6)</f>
        <v>35</v>
      </c>
      <c r="D151" s="606">
        <f>MAX('Cost Data'!$C$45,('Cost Data'!A151-60)/60*'Income Data'!$H$7)</f>
        <v>83.797306666666671</v>
      </c>
      <c r="E151" s="607">
        <f t="shared" si="1"/>
        <v>35</v>
      </c>
      <c r="F151" s="8"/>
    </row>
    <row r="152" spans="1:6" x14ac:dyDescent="0.2">
      <c r="A152" s="603">
        <v>87</v>
      </c>
      <c r="B152" s="604">
        <f>MAX('Cost Data'!$C$45,('Cost Data'!A152-2*38)/38*'Income Data'!$H$5)</f>
        <v>52.14544210526315</v>
      </c>
      <c r="C152" s="605">
        <f>MAX('Cost Data'!$C$45,('Cost Data'!A152-76)/76*'Income Data'!$H$6)</f>
        <v>35</v>
      </c>
      <c r="D152" s="606">
        <f>MAX('Cost Data'!$C$45,('Cost Data'!A152-60)/60*'Income Data'!$H$7)</f>
        <v>87.02028</v>
      </c>
      <c r="E152" s="607">
        <f t="shared" si="1"/>
        <v>35</v>
      </c>
      <c r="F152" s="8"/>
    </row>
    <row r="153" spans="1:6" x14ac:dyDescent="0.2">
      <c r="A153" s="603">
        <v>88</v>
      </c>
      <c r="B153" s="604">
        <f>MAX('Cost Data'!$C$45,('Cost Data'!A153-2*38)/38*'Income Data'!$H$5)</f>
        <v>56.885936842105252</v>
      </c>
      <c r="C153" s="605">
        <f>MAX('Cost Data'!$C$45,('Cost Data'!A153-76)/76*'Income Data'!$H$6)</f>
        <v>35</v>
      </c>
      <c r="D153" s="606">
        <f>MAX('Cost Data'!$C$45,('Cost Data'!A153-60)/60*'Income Data'!$H$7)</f>
        <v>90.243253333333328</v>
      </c>
      <c r="E153" s="607">
        <f t="shared" si="1"/>
        <v>35</v>
      </c>
      <c r="F153" s="8"/>
    </row>
    <row r="154" spans="1:6" x14ac:dyDescent="0.2">
      <c r="A154" s="603">
        <v>89</v>
      </c>
      <c r="B154" s="604">
        <f>MAX('Cost Data'!$C$45,('Cost Data'!A154-2*38)/38*'Income Data'!$H$5)</f>
        <v>61.626431578947361</v>
      </c>
      <c r="C154" s="605">
        <f>MAX('Cost Data'!$C$45,('Cost Data'!A154-76)/76*'Income Data'!$H$6)</f>
        <v>35</v>
      </c>
      <c r="D154" s="606">
        <f>MAX('Cost Data'!$C$45,('Cost Data'!A154-60)/60*'Income Data'!$H$7)</f>
        <v>93.466226666666671</v>
      </c>
      <c r="E154" s="607">
        <f t="shared" si="1"/>
        <v>35</v>
      </c>
      <c r="F154" s="8"/>
    </row>
    <row r="155" spans="1:6" x14ac:dyDescent="0.2">
      <c r="A155" s="603">
        <v>90</v>
      </c>
      <c r="B155" s="604">
        <f>MAX('Cost Data'!$C$45,('Cost Data'!A155-2*38)/38*'Income Data'!$H$5)</f>
        <v>66.366926315789456</v>
      </c>
      <c r="C155" s="605">
        <f>MAX('Cost Data'!$C$45,('Cost Data'!A155-76)/76*'Income Data'!$H$6)</f>
        <v>35</v>
      </c>
      <c r="D155" s="606">
        <f>MAX('Cost Data'!$C$45,('Cost Data'!A155-60)/60*'Income Data'!$H$7)</f>
        <v>96.6892</v>
      </c>
      <c r="E155" s="607">
        <f t="shared" si="1"/>
        <v>35</v>
      </c>
      <c r="F155" s="8"/>
    </row>
    <row r="156" spans="1:6" x14ac:dyDescent="0.2">
      <c r="A156" s="603">
        <v>91</v>
      </c>
      <c r="B156" s="604">
        <f>MAX('Cost Data'!$C$45,('Cost Data'!A156-2*38)/38*'Income Data'!$H$5)</f>
        <v>71.107421052631565</v>
      </c>
      <c r="C156" s="605">
        <f>MAX('Cost Data'!$C$45,('Cost Data'!A156-76)/76*'Income Data'!$H$6)</f>
        <v>35</v>
      </c>
      <c r="D156" s="606">
        <f>MAX('Cost Data'!$C$45,('Cost Data'!A156-60)/60*'Income Data'!$H$7)</f>
        <v>99.912173333333342</v>
      </c>
      <c r="E156" s="607">
        <f t="shared" si="1"/>
        <v>35</v>
      </c>
      <c r="F156" s="8"/>
    </row>
    <row r="157" spans="1:6" x14ac:dyDescent="0.2">
      <c r="A157" s="603">
        <v>92</v>
      </c>
      <c r="B157" s="604">
        <f>MAX('Cost Data'!$C$45,('Cost Data'!A157-2*38)/38*'Income Data'!$H$5)</f>
        <v>75.847915789473674</v>
      </c>
      <c r="C157" s="605">
        <f>MAX('Cost Data'!$C$45,('Cost Data'!A157-76)/76*'Income Data'!$H$6)</f>
        <v>35</v>
      </c>
      <c r="D157" s="606">
        <f>MAX('Cost Data'!$C$45,('Cost Data'!A157-60)/60*'Income Data'!$H$7)</f>
        <v>103.13514666666667</v>
      </c>
      <c r="E157" s="607">
        <f t="shared" si="1"/>
        <v>35</v>
      </c>
      <c r="F157" s="8"/>
    </row>
    <row r="158" spans="1:6" x14ac:dyDescent="0.2">
      <c r="A158" s="603">
        <v>93</v>
      </c>
      <c r="B158" s="604">
        <f>MAX('Cost Data'!$C$45,('Cost Data'!A158-2*38)/38*'Income Data'!$H$5)</f>
        <v>80.588410526315783</v>
      </c>
      <c r="C158" s="605">
        <f>MAX('Cost Data'!$C$45,('Cost Data'!A158-76)/76*'Income Data'!$H$6)</f>
        <v>35</v>
      </c>
      <c r="D158" s="606">
        <f>MAX('Cost Data'!$C$45,('Cost Data'!A158-60)/60*'Income Data'!$H$7)</f>
        <v>106.35812000000001</v>
      </c>
      <c r="E158" s="607">
        <f t="shared" si="1"/>
        <v>35</v>
      </c>
      <c r="F158" s="8"/>
    </row>
    <row r="159" spans="1:6" x14ac:dyDescent="0.2">
      <c r="A159" s="603">
        <v>94</v>
      </c>
      <c r="B159" s="604">
        <f>MAX('Cost Data'!$C$45,('Cost Data'!A159-2*38)/38*'Income Data'!$H$5)</f>
        <v>85.328905263157878</v>
      </c>
      <c r="C159" s="605">
        <f>MAX('Cost Data'!$C$45,('Cost Data'!A159-76)/76*'Income Data'!$H$6)</f>
        <v>35</v>
      </c>
      <c r="D159" s="606">
        <f>MAX('Cost Data'!$C$45,('Cost Data'!A159-60)/60*'Income Data'!$H$7)</f>
        <v>109.58109333333333</v>
      </c>
      <c r="E159" s="607">
        <f t="shared" si="1"/>
        <v>35</v>
      </c>
      <c r="F159" s="8"/>
    </row>
    <row r="160" spans="1:6" x14ac:dyDescent="0.2">
      <c r="A160" s="603">
        <v>95</v>
      </c>
      <c r="B160" s="604">
        <f>MAX('Cost Data'!$C$45,('Cost Data'!A160-2*38)/38*'Income Data'!$H$5)</f>
        <v>90.069399999999987</v>
      </c>
      <c r="C160" s="605">
        <f>MAX('Cost Data'!$C$45,('Cost Data'!A160-76)/76*'Income Data'!$H$6)</f>
        <v>35</v>
      </c>
      <c r="D160" s="606">
        <f>MAX('Cost Data'!$C$45,('Cost Data'!A160-60)/60*'Income Data'!$H$7)</f>
        <v>112.80406666666667</v>
      </c>
      <c r="E160" s="607">
        <f t="shared" si="1"/>
        <v>35</v>
      </c>
      <c r="F160" s="8"/>
    </row>
    <row r="161" spans="1:6" x14ac:dyDescent="0.2">
      <c r="A161" s="603">
        <v>96</v>
      </c>
      <c r="B161" s="604">
        <f>MAX('Cost Data'!$C$45,('Cost Data'!A161-2*38)/38*'Income Data'!$H$5)</f>
        <v>94.809894736842082</v>
      </c>
      <c r="C161" s="605">
        <f>MAX('Cost Data'!$C$45,('Cost Data'!A161-76)/76*'Income Data'!$H$6)</f>
        <v>35</v>
      </c>
      <c r="D161" s="606">
        <f>MAX('Cost Data'!$C$45,('Cost Data'!A161-60)/60*'Income Data'!$H$7)</f>
        <v>116.02704</v>
      </c>
      <c r="E161" s="607">
        <f t="shared" si="1"/>
        <v>35</v>
      </c>
      <c r="F161" s="8"/>
    </row>
    <row r="162" spans="1:6" x14ac:dyDescent="0.2">
      <c r="A162" s="603">
        <v>97</v>
      </c>
      <c r="B162" s="604">
        <f>MAX('Cost Data'!$C$45,('Cost Data'!A162-2*38)/38*'Income Data'!$H$5)</f>
        <v>99.550389473684206</v>
      </c>
      <c r="C162" s="605">
        <f>MAX('Cost Data'!$C$45,('Cost Data'!A162-76)/76*'Income Data'!$H$6)</f>
        <v>35</v>
      </c>
      <c r="D162" s="606">
        <f>MAX('Cost Data'!$C$45,('Cost Data'!A162-60)/60*'Income Data'!$H$7)</f>
        <v>119.25001333333334</v>
      </c>
      <c r="E162" s="607">
        <f t="shared" si="1"/>
        <v>35</v>
      </c>
      <c r="F162" s="8"/>
    </row>
    <row r="163" spans="1:6" x14ac:dyDescent="0.2">
      <c r="A163" s="603">
        <v>98</v>
      </c>
      <c r="B163" s="604">
        <f>MAX('Cost Data'!$C$45,('Cost Data'!A163-2*38)/38*'Income Data'!$H$5)</f>
        <v>104.2908842105263</v>
      </c>
      <c r="C163" s="605">
        <f>MAX('Cost Data'!$C$45,('Cost Data'!A163-76)/76*'Income Data'!$H$6)</f>
        <v>36.002421052631576</v>
      </c>
      <c r="D163" s="606">
        <f>MAX('Cost Data'!$C$45,('Cost Data'!A163-60)/60*'Income Data'!$H$7)</f>
        <v>122.47298666666666</v>
      </c>
      <c r="E163" s="607">
        <f t="shared" si="1"/>
        <v>35</v>
      </c>
      <c r="F163" s="8"/>
    </row>
    <row r="164" spans="1:6" x14ac:dyDescent="0.2">
      <c r="A164" s="603">
        <v>99</v>
      </c>
      <c r="B164" s="604">
        <f>MAX('Cost Data'!$C$45,('Cost Data'!A164-2*38)/38*'Income Data'!$H$5)</f>
        <v>109.03137894736841</v>
      </c>
      <c r="C164" s="605">
        <f>MAX('Cost Data'!$C$45,('Cost Data'!A164-76)/76*'Income Data'!$H$6)</f>
        <v>37.638894736842097</v>
      </c>
      <c r="D164" s="606">
        <f>MAX('Cost Data'!$C$45,('Cost Data'!A164-60)/60*'Income Data'!$H$7)</f>
        <v>125.69596</v>
      </c>
      <c r="E164" s="607">
        <f t="shared" si="1"/>
        <v>35</v>
      </c>
      <c r="F164" s="8"/>
    </row>
    <row r="165" spans="1:6" x14ac:dyDescent="0.2">
      <c r="A165" s="603">
        <v>100</v>
      </c>
      <c r="B165" s="604">
        <f>MAX('Cost Data'!$C$45,('Cost Data'!A165-2*38)/38*'Income Data'!$H$5)</f>
        <v>113.7718736842105</v>
      </c>
      <c r="C165" s="605">
        <f>MAX('Cost Data'!$C$45,('Cost Data'!A165-76)/76*'Income Data'!$H$6)</f>
        <v>39.275368421052626</v>
      </c>
      <c r="D165" s="606">
        <f>MAX('Cost Data'!$C$45,('Cost Data'!A165-60)/60*'Income Data'!$H$7)</f>
        <v>128.91893333333331</v>
      </c>
      <c r="E165" s="607">
        <f t="shared" si="1"/>
        <v>35</v>
      </c>
      <c r="F165" s="8"/>
    </row>
  </sheetData>
  <sheetProtection password="C395" sheet="1"/>
  <mergeCells count="1">
    <mergeCell ref="D56:D57"/>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6"/>
  <sheetViews>
    <sheetView zoomScale="80" zoomScaleNormal="80" workbookViewId="0"/>
  </sheetViews>
  <sheetFormatPr defaultColWidth="9" defaultRowHeight="12.75" x14ac:dyDescent="0.2"/>
  <cols>
    <col min="1" max="1" width="48.5" style="6" customWidth="1"/>
    <col min="2" max="2" width="45.5" style="6" customWidth="1"/>
    <col min="3" max="3" width="25.25" style="6" customWidth="1"/>
    <col min="4" max="4" width="11.125" style="6" customWidth="1"/>
    <col min="5" max="5" width="18.125" style="6" customWidth="1"/>
    <col min="6" max="6" width="24.125" style="674" customWidth="1"/>
    <col min="7" max="7" width="16.25" style="265" customWidth="1"/>
    <col min="8" max="8" width="19.75" style="660" customWidth="1"/>
    <col min="9" max="9" width="27.25" style="6" customWidth="1"/>
    <col min="10" max="10" width="28.625" style="6" customWidth="1"/>
    <col min="11" max="11" width="15.875" style="6" customWidth="1"/>
    <col min="12" max="12" width="41.125" style="480" customWidth="1"/>
    <col min="13" max="16384" width="9" style="6"/>
  </cols>
  <sheetData>
    <row r="1" spans="1:13" ht="19.5" x14ac:dyDescent="0.25">
      <c r="A1" s="609" t="s">
        <v>242</v>
      </c>
      <c r="B1" s="29"/>
      <c r="C1" s="610"/>
      <c r="D1" s="610"/>
      <c r="E1" s="610"/>
      <c r="F1" s="611"/>
      <c r="G1" s="612"/>
      <c r="H1" s="613"/>
      <c r="J1" s="609" t="s">
        <v>243</v>
      </c>
    </row>
    <row r="2" spans="1:13" ht="15" customHeight="1" x14ac:dyDescent="0.25">
      <c r="C2" s="610"/>
      <c r="D2" s="610"/>
      <c r="E2" s="519"/>
      <c r="F2" s="614"/>
      <c r="G2" s="615"/>
      <c r="H2" s="616"/>
      <c r="J2" s="609"/>
    </row>
    <row r="3" spans="1:13" ht="38.25" x14ac:dyDescent="0.2">
      <c r="A3" s="617"/>
      <c r="B3" s="618" t="s">
        <v>235</v>
      </c>
      <c r="C3" s="618" t="s">
        <v>327</v>
      </c>
      <c r="D3" s="618" t="s">
        <v>366</v>
      </c>
      <c r="E3" s="619" t="s">
        <v>326</v>
      </c>
      <c r="F3" s="433" t="s">
        <v>161</v>
      </c>
      <c r="G3" s="578" t="s">
        <v>147</v>
      </c>
      <c r="H3" s="385" t="s">
        <v>450</v>
      </c>
      <c r="J3" s="620" t="s">
        <v>328</v>
      </c>
      <c r="K3" s="621" t="s">
        <v>329</v>
      </c>
      <c r="L3" s="622" t="s">
        <v>244</v>
      </c>
    </row>
    <row r="4" spans="1:13" ht="30.75" customHeight="1" x14ac:dyDescent="0.2">
      <c r="A4" s="617" t="s">
        <v>370</v>
      </c>
      <c r="B4" s="617"/>
      <c r="C4" s="617"/>
      <c r="D4" s="617"/>
      <c r="E4" s="617"/>
      <c r="F4" s="440"/>
      <c r="G4" s="623"/>
      <c r="H4" s="436" t="s">
        <v>449</v>
      </c>
      <c r="J4" s="251" t="s">
        <v>330</v>
      </c>
      <c r="K4" s="624">
        <v>15</v>
      </c>
      <c r="L4" s="625" t="s">
        <v>332</v>
      </c>
    </row>
    <row r="5" spans="1:13" ht="36" customHeight="1" x14ac:dyDescent="0.2">
      <c r="A5" s="626" t="s">
        <v>162</v>
      </c>
      <c r="B5" s="626">
        <v>38</v>
      </c>
      <c r="C5" s="627">
        <v>24</v>
      </c>
      <c r="D5" s="627">
        <v>2</v>
      </c>
      <c r="E5" s="626">
        <v>449</v>
      </c>
      <c r="F5" s="500">
        <v>40.119999999999997</v>
      </c>
      <c r="G5" s="576">
        <f>E5*F5</f>
        <v>18013.879999999997</v>
      </c>
      <c r="H5" s="628">
        <f>0.01*G5</f>
        <v>180.13879999999997</v>
      </c>
      <c r="J5" s="620" t="s">
        <v>331</v>
      </c>
      <c r="K5" s="629">
        <v>19.940000000000001</v>
      </c>
      <c r="L5" s="250" t="s">
        <v>333</v>
      </c>
    </row>
    <row r="6" spans="1:13" ht="15" customHeight="1" x14ac:dyDescent="0.2">
      <c r="A6" s="630" t="s">
        <v>424</v>
      </c>
      <c r="B6" s="626">
        <v>76</v>
      </c>
      <c r="C6" s="627">
        <v>8</v>
      </c>
      <c r="D6" s="627">
        <v>2</v>
      </c>
      <c r="E6" s="626">
        <v>310</v>
      </c>
      <c r="F6" s="500">
        <v>40.119999999999997</v>
      </c>
      <c r="G6" s="576">
        <f>E6*F6</f>
        <v>12437.199999999999</v>
      </c>
      <c r="H6" s="628">
        <f>0.01*G6</f>
        <v>124.37199999999999</v>
      </c>
    </row>
    <row r="7" spans="1:13" ht="15" customHeight="1" x14ac:dyDescent="0.2">
      <c r="A7" s="626" t="s">
        <v>163</v>
      </c>
      <c r="B7" s="626">
        <v>60</v>
      </c>
      <c r="C7" s="627">
        <v>16</v>
      </c>
      <c r="D7" s="627">
        <v>2</v>
      </c>
      <c r="E7" s="626">
        <v>482</v>
      </c>
      <c r="F7" s="500">
        <v>40.119999999999997</v>
      </c>
      <c r="G7" s="576">
        <f>E7*F7</f>
        <v>19337.84</v>
      </c>
      <c r="H7" s="628">
        <f>0.01*G7</f>
        <v>193.3784</v>
      </c>
    </row>
    <row r="8" spans="1:13" ht="15" customHeight="1" x14ac:dyDescent="0.2">
      <c r="A8" s="626"/>
      <c r="B8" s="626"/>
      <c r="C8" s="626"/>
      <c r="D8" s="626"/>
      <c r="E8" s="626"/>
      <c r="F8" s="500"/>
      <c r="G8" s="576"/>
      <c r="H8" s="631"/>
      <c r="J8" s="632" t="s">
        <v>334</v>
      </c>
      <c r="K8" s="594"/>
      <c r="L8" s="633"/>
    </row>
    <row r="9" spans="1:13" ht="15" customHeight="1" x14ac:dyDescent="0.2">
      <c r="A9" s="617" t="s">
        <v>369</v>
      </c>
      <c r="B9" s="617"/>
      <c r="C9" s="617"/>
      <c r="D9" s="617"/>
      <c r="E9" s="617"/>
      <c r="F9" s="634"/>
      <c r="G9" s="623"/>
      <c r="H9" s="635"/>
      <c r="J9" s="295" t="s">
        <v>335</v>
      </c>
      <c r="K9" s="450"/>
      <c r="L9" s="636"/>
      <c r="M9" s="478"/>
    </row>
    <row r="10" spans="1:13" ht="15" customHeight="1" x14ac:dyDescent="0.2">
      <c r="A10" s="637" t="s">
        <v>239</v>
      </c>
      <c r="B10" s="638" t="s">
        <v>205</v>
      </c>
      <c r="C10" s="639">
        <v>24</v>
      </c>
      <c r="D10" s="639">
        <v>2</v>
      </c>
      <c r="E10" s="639">
        <v>84</v>
      </c>
      <c r="F10" s="640">
        <v>40.119999999999997</v>
      </c>
      <c r="G10" s="641">
        <f>E10*F10</f>
        <v>3370.08</v>
      </c>
      <c r="H10" s="642"/>
      <c r="I10" s="643"/>
      <c r="J10" s="295" t="s">
        <v>336</v>
      </c>
      <c r="K10" s="450"/>
      <c r="L10" s="636"/>
      <c r="M10" s="478"/>
    </row>
    <row r="11" spans="1:13" ht="15" customHeight="1" x14ac:dyDescent="0.2">
      <c r="A11" s="644" t="s">
        <v>236</v>
      </c>
      <c r="B11" s="645" t="s">
        <v>238</v>
      </c>
      <c r="C11" s="646"/>
      <c r="D11" s="646"/>
      <c r="E11" s="646"/>
      <c r="F11" s="647"/>
      <c r="G11" s="648"/>
      <c r="H11" s="642"/>
      <c r="J11" s="649" t="s">
        <v>340</v>
      </c>
      <c r="K11" s="650"/>
      <c r="L11" s="651"/>
      <c r="M11" s="478"/>
    </row>
    <row r="12" spans="1:13" ht="15" customHeight="1" x14ac:dyDescent="0.2">
      <c r="A12" s="652" t="s">
        <v>237</v>
      </c>
      <c r="B12" s="653">
        <v>94</v>
      </c>
      <c r="C12" s="654"/>
      <c r="D12" s="654"/>
      <c r="E12" s="654"/>
      <c r="F12" s="541"/>
      <c r="G12" s="655"/>
      <c r="H12" s="642"/>
      <c r="M12" s="478"/>
    </row>
    <row r="13" spans="1:13" ht="15" customHeight="1" x14ac:dyDescent="0.2">
      <c r="A13" s="644" t="s">
        <v>425</v>
      </c>
      <c r="B13" s="645" t="s">
        <v>426</v>
      </c>
      <c r="C13" s="646">
        <v>8</v>
      </c>
      <c r="D13" s="646">
        <v>2</v>
      </c>
      <c r="E13" s="646">
        <v>28</v>
      </c>
      <c r="F13" s="640">
        <v>40.119999999999997</v>
      </c>
      <c r="G13" s="641">
        <f>E13*F13</f>
        <v>1123.3599999999999</v>
      </c>
      <c r="H13" s="642"/>
      <c r="M13" s="478"/>
    </row>
    <row r="14" spans="1:13" ht="15" customHeight="1" x14ac:dyDescent="0.2">
      <c r="A14" s="637" t="s">
        <v>240</v>
      </c>
      <c r="B14" s="638" t="s">
        <v>206</v>
      </c>
      <c r="C14" s="656">
        <v>16</v>
      </c>
      <c r="D14" s="656">
        <v>2</v>
      </c>
      <c r="E14" s="639">
        <v>56</v>
      </c>
      <c r="F14" s="640">
        <v>40.119999999999997</v>
      </c>
      <c r="G14" s="641">
        <f t="shared" ref="G14:G29" si="0">E14*F14</f>
        <v>2246.7199999999998</v>
      </c>
      <c r="H14" s="642"/>
      <c r="M14" s="478"/>
    </row>
    <row r="15" spans="1:13" ht="15" customHeight="1" x14ac:dyDescent="0.2">
      <c r="A15" s="652" t="s">
        <v>241</v>
      </c>
      <c r="B15" s="653" t="s">
        <v>358</v>
      </c>
      <c r="C15" s="654"/>
      <c r="D15" s="654"/>
      <c r="E15" s="654"/>
      <c r="F15" s="541"/>
      <c r="G15" s="655"/>
      <c r="H15" s="642"/>
      <c r="M15" s="478"/>
    </row>
    <row r="16" spans="1:13" ht="29.25" customHeight="1" x14ac:dyDescent="0.2">
      <c r="A16" s="617" t="s">
        <v>368</v>
      </c>
      <c r="B16" s="443"/>
      <c r="C16" s="657"/>
      <c r="D16" s="657"/>
      <c r="E16" s="657"/>
      <c r="F16" s="658"/>
      <c r="G16" s="659"/>
      <c r="M16" s="478"/>
    </row>
    <row r="17" spans="1:13" ht="15" customHeight="1" x14ac:dyDescent="0.2">
      <c r="A17" s="626" t="s">
        <v>164</v>
      </c>
      <c r="B17" s="626">
        <v>20</v>
      </c>
      <c r="C17" s="626">
        <v>4</v>
      </c>
      <c r="D17" s="626">
        <v>1.5</v>
      </c>
      <c r="E17" s="626">
        <v>3</v>
      </c>
      <c r="F17" s="500">
        <v>27</v>
      </c>
      <c r="G17" s="587">
        <f t="shared" si="0"/>
        <v>81</v>
      </c>
      <c r="M17" s="478"/>
    </row>
    <row r="18" spans="1:13" ht="15" customHeight="1" x14ac:dyDescent="0.2">
      <c r="A18" s="626"/>
      <c r="B18" s="626">
        <v>25</v>
      </c>
      <c r="C18" s="626">
        <v>4</v>
      </c>
      <c r="D18" s="626">
        <v>1.5</v>
      </c>
      <c r="E18" s="626">
        <v>14</v>
      </c>
      <c r="F18" s="500">
        <v>27</v>
      </c>
      <c r="G18" s="587">
        <f t="shared" si="0"/>
        <v>378</v>
      </c>
      <c r="H18" s="642"/>
    </row>
    <row r="19" spans="1:13" ht="15" customHeight="1" x14ac:dyDescent="0.2">
      <c r="A19" s="626"/>
      <c r="B19" s="626">
        <v>30</v>
      </c>
      <c r="C19" s="626">
        <v>4</v>
      </c>
      <c r="D19" s="626">
        <v>1.5</v>
      </c>
      <c r="E19" s="626">
        <v>14</v>
      </c>
      <c r="F19" s="500">
        <v>27</v>
      </c>
      <c r="G19" s="587">
        <f t="shared" si="0"/>
        <v>378</v>
      </c>
      <c r="H19" s="642"/>
    </row>
    <row r="20" spans="1:13" ht="15" customHeight="1" x14ac:dyDescent="0.2">
      <c r="A20" s="626"/>
      <c r="B20" s="626">
        <v>35</v>
      </c>
      <c r="C20" s="626">
        <v>4</v>
      </c>
      <c r="D20" s="626">
        <v>1.5</v>
      </c>
      <c r="E20" s="626">
        <v>14</v>
      </c>
      <c r="F20" s="500">
        <v>27</v>
      </c>
      <c r="G20" s="587">
        <f t="shared" si="0"/>
        <v>378</v>
      </c>
      <c r="H20" s="642"/>
    </row>
    <row r="21" spans="1:13" ht="15" customHeight="1" x14ac:dyDescent="0.2">
      <c r="A21" s="626"/>
      <c r="B21" s="626">
        <v>40</v>
      </c>
      <c r="C21" s="626">
        <v>4</v>
      </c>
      <c r="D21" s="626">
        <v>1.5</v>
      </c>
      <c r="E21" s="626">
        <v>14</v>
      </c>
      <c r="F21" s="500">
        <v>27</v>
      </c>
      <c r="G21" s="587">
        <f t="shared" si="0"/>
        <v>378</v>
      </c>
      <c r="H21" s="642"/>
    </row>
    <row r="22" spans="1:13" ht="15" customHeight="1" x14ac:dyDescent="0.2">
      <c r="A22" s="626"/>
      <c r="B22" s="626">
        <v>45</v>
      </c>
      <c r="C22" s="626">
        <v>4</v>
      </c>
      <c r="D22" s="626">
        <v>1.5</v>
      </c>
      <c r="E22" s="626">
        <v>14</v>
      </c>
      <c r="F22" s="500">
        <v>27</v>
      </c>
      <c r="G22" s="587">
        <f t="shared" si="0"/>
        <v>378</v>
      </c>
      <c r="H22" s="642"/>
    </row>
    <row r="23" spans="1:13" ht="15" customHeight="1" x14ac:dyDescent="0.2">
      <c r="A23" s="626"/>
      <c r="B23" s="626">
        <v>50</v>
      </c>
      <c r="C23" s="626">
        <v>4</v>
      </c>
      <c r="D23" s="626">
        <v>1.5</v>
      </c>
      <c r="E23" s="626">
        <v>11</v>
      </c>
      <c r="F23" s="500">
        <v>27</v>
      </c>
      <c r="G23" s="587">
        <f t="shared" si="0"/>
        <v>297</v>
      </c>
      <c r="H23" s="642"/>
    </row>
    <row r="24" spans="1:13" ht="15" customHeight="1" x14ac:dyDescent="0.2">
      <c r="A24" s="626"/>
      <c r="B24" s="626">
        <v>55</v>
      </c>
      <c r="C24" s="626">
        <v>4</v>
      </c>
      <c r="D24" s="626">
        <v>1.5</v>
      </c>
      <c r="E24" s="626">
        <v>9</v>
      </c>
      <c r="F24" s="500">
        <v>27</v>
      </c>
      <c r="G24" s="587">
        <f t="shared" si="0"/>
        <v>243</v>
      </c>
      <c r="H24" s="642"/>
    </row>
    <row r="25" spans="1:13" ht="15" customHeight="1" x14ac:dyDescent="0.2">
      <c r="A25" s="626"/>
      <c r="B25" s="626">
        <v>60</v>
      </c>
      <c r="C25" s="626">
        <v>4</v>
      </c>
      <c r="D25" s="626">
        <v>1.5</v>
      </c>
      <c r="E25" s="626">
        <v>7</v>
      </c>
      <c r="F25" s="500">
        <v>27</v>
      </c>
      <c r="G25" s="587">
        <f t="shared" si="0"/>
        <v>189</v>
      </c>
      <c r="H25" s="642"/>
    </row>
    <row r="26" spans="1:13" ht="15" customHeight="1" x14ac:dyDescent="0.2">
      <c r="A26" s="626"/>
      <c r="B26" s="626">
        <v>65</v>
      </c>
      <c r="C26" s="626">
        <v>4</v>
      </c>
      <c r="D26" s="626">
        <v>1.5</v>
      </c>
      <c r="E26" s="626">
        <v>6</v>
      </c>
      <c r="F26" s="500">
        <v>27</v>
      </c>
      <c r="G26" s="587">
        <f t="shared" si="0"/>
        <v>162</v>
      </c>
      <c r="H26" s="642"/>
    </row>
    <row r="27" spans="1:13" ht="15" customHeight="1" x14ac:dyDescent="0.2">
      <c r="A27" s="626"/>
      <c r="B27" s="626">
        <v>70</v>
      </c>
      <c r="C27" s="626">
        <v>4</v>
      </c>
      <c r="D27" s="626">
        <v>1.5</v>
      </c>
      <c r="E27" s="626">
        <v>5</v>
      </c>
      <c r="F27" s="500">
        <v>27</v>
      </c>
      <c r="G27" s="587">
        <f t="shared" si="0"/>
        <v>135</v>
      </c>
      <c r="H27" s="642"/>
    </row>
    <row r="28" spans="1:13" ht="15" customHeight="1" x14ac:dyDescent="0.2">
      <c r="A28" s="626"/>
      <c r="B28" s="626">
        <v>75</v>
      </c>
      <c r="C28" s="626">
        <v>4</v>
      </c>
      <c r="D28" s="626">
        <v>1.5</v>
      </c>
      <c r="E28" s="626">
        <v>4</v>
      </c>
      <c r="F28" s="500">
        <v>27</v>
      </c>
      <c r="G28" s="587">
        <f t="shared" si="0"/>
        <v>108</v>
      </c>
      <c r="H28" s="642"/>
    </row>
    <row r="29" spans="1:13" ht="15" customHeight="1" x14ac:dyDescent="0.2">
      <c r="A29" s="626"/>
      <c r="B29" s="626">
        <v>80</v>
      </c>
      <c r="C29" s="626">
        <v>4</v>
      </c>
      <c r="D29" s="626">
        <v>1.5</v>
      </c>
      <c r="E29" s="626">
        <v>3</v>
      </c>
      <c r="F29" s="500">
        <v>27</v>
      </c>
      <c r="G29" s="587">
        <f t="shared" si="0"/>
        <v>81</v>
      </c>
      <c r="H29" s="642"/>
      <c r="I29" s="643"/>
      <c r="J29" s="519"/>
    </row>
    <row r="30" spans="1:13" ht="15" customHeight="1" x14ac:dyDescent="0.2">
      <c r="A30" s="661"/>
      <c r="B30" s="662" t="s">
        <v>367</v>
      </c>
      <c r="C30" s="663">
        <v>4</v>
      </c>
      <c r="D30" s="664"/>
      <c r="E30" s="664"/>
      <c r="F30" s="665"/>
      <c r="G30" s="666"/>
      <c r="H30" s="642"/>
      <c r="I30" s="643"/>
      <c r="J30" s="519"/>
    </row>
    <row r="31" spans="1:13" ht="15" customHeight="1" x14ac:dyDescent="0.2">
      <c r="A31" s="667"/>
      <c r="B31" s="668"/>
      <c r="C31" s="184"/>
      <c r="D31" s="14"/>
      <c r="E31" s="14"/>
      <c r="F31" s="669"/>
      <c r="G31" s="270"/>
      <c r="H31" s="670"/>
      <c r="I31" s="643"/>
      <c r="J31" s="519"/>
    </row>
    <row r="32" spans="1:13" ht="15" customHeight="1" x14ac:dyDescent="0.2">
      <c r="A32" s="671" t="s">
        <v>230</v>
      </c>
      <c r="B32" s="672" t="s">
        <v>307</v>
      </c>
      <c r="C32" s="673" t="s">
        <v>308</v>
      </c>
      <c r="D32" s="468"/>
    </row>
    <row r="33" spans="1:4" ht="20.25" customHeight="1" x14ac:dyDescent="0.2">
      <c r="A33" s="675" t="s">
        <v>232</v>
      </c>
      <c r="B33" s="637" t="s">
        <v>233</v>
      </c>
      <c r="C33" s="329" t="s">
        <v>337</v>
      </c>
      <c r="D33" s="327"/>
    </row>
    <row r="34" spans="1:4" ht="19.5" customHeight="1" x14ac:dyDescent="0.2">
      <c r="A34" s="676"/>
      <c r="B34" s="652" t="s">
        <v>365</v>
      </c>
      <c r="C34" s="331"/>
      <c r="D34" s="327"/>
    </row>
    <row r="35" spans="1:4" ht="15" customHeight="1" x14ac:dyDescent="0.2">
      <c r="A35" s="677" t="s">
        <v>231</v>
      </c>
      <c r="B35" s="630" t="s">
        <v>339</v>
      </c>
      <c r="C35" s="332" t="s">
        <v>338</v>
      </c>
      <c r="D35" s="327"/>
    </row>
    <row r="36" spans="1:4" ht="53.25" customHeight="1" x14ac:dyDescent="0.2">
      <c r="A36" s="676" t="s">
        <v>234</v>
      </c>
      <c r="B36" s="678" t="s">
        <v>345</v>
      </c>
      <c r="C36" s="333" t="s">
        <v>344</v>
      </c>
      <c r="D36" s="327"/>
    </row>
  </sheetData>
  <sheetProtection password="C395" sheet="1"/>
  <hyperlinks>
    <hyperlink ref="C33" r:id="rId1"/>
    <hyperlink ref="C35" r:id="rId2"/>
    <hyperlink ref="L5" r:id="rId3"/>
    <hyperlink ref="C36" r:id="rId4"/>
  </hyperlinks>
  <pageMargins left="0.7" right="0.7" top="0.75" bottom="0.75" header="0.3" footer="0.3"/>
  <pageSetup paperSize="9" orientation="portrait" horizontalDpi="90" verticalDpi="90" r:id="rId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2"/>
  <sheetViews>
    <sheetView topLeftCell="B1" zoomScale="120" zoomScaleNormal="120" workbookViewId="0">
      <selection activeCell="B1" sqref="B1"/>
    </sheetView>
  </sheetViews>
  <sheetFormatPr defaultColWidth="25" defaultRowHeight="12.75" x14ac:dyDescent="0.2"/>
  <cols>
    <col min="1" max="1" width="25" hidden="1" customWidth="1"/>
    <col min="2" max="3" width="25" customWidth="1"/>
    <col min="4" max="4" width="30.5" style="1" customWidth="1"/>
    <col min="5" max="5" width="25" customWidth="1"/>
    <col min="6" max="6" width="63.25" style="1" customWidth="1"/>
  </cols>
  <sheetData>
    <row r="1" spans="1:8" ht="19.5" x14ac:dyDescent="0.25">
      <c r="B1" s="130" t="s">
        <v>405</v>
      </c>
    </row>
    <row r="3" spans="1:8" ht="51" x14ac:dyDescent="0.2">
      <c r="B3" s="255" t="s">
        <v>104</v>
      </c>
      <c r="C3" s="256" t="s">
        <v>95</v>
      </c>
      <c r="D3" s="253" t="s">
        <v>584</v>
      </c>
      <c r="E3" s="254" t="s">
        <v>583</v>
      </c>
      <c r="F3" s="395" t="s">
        <v>197</v>
      </c>
    </row>
    <row r="4" spans="1:8" s="1" customFormat="1" x14ac:dyDescent="0.2">
      <c r="A4" s="131" t="s">
        <v>220</v>
      </c>
      <c r="B4" s="255"/>
      <c r="C4" s="256"/>
      <c r="D4" s="258" t="s">
        <v>196</v>
      </c>
      <c r="E4" s="259" t="s">
        <v>196</v>
      </c>
      <c r="F4" s="257"/>
    </row>
    <row r="5" spans="1:8" ht="15" customHeight="1" x14ac:dyDescent="0.25">
      <c r="A5" s="129" t="str">
        <f t="shared" ref="A5:A20" si="0">CONCATENATE(B5,C5)</f>
        <v>EnglandCattle and Sheep (LFA)</v>
      </c>
      <c r="B5" s="252" t="s">
        <v>97</v>
      </c>
      <c r="C5" s="193" t="s">
        <v>92</v>
      </c>
      <c r="D5" s="988">
        <v>141</v>
      </c>
      <c r="E5" s="991">
        <v>163</v>
      </c>
      <c r="F5" s="989" t="s">
        <v>570</v>
      </c>
    </row>
    <row r="6" spans="1:8" ht="15" customHeight="1" x14ac:dyDescent="0.25">
      <c r="A6" s="129" t="str">
        <f t="shared" si="0"/>
        <v>EnglandCattle and Sheep (Lowland)</v>
      </c>
      <c r="B6" s="260" t="s">
        <v>97</v>
      </c>
      <c r="C6" s="195" t="s">
        <v>427</v>
      </c>
      <c r="D6" s="988">
        <v>141</v>
      </c>
      <c r="E6" s="991">
        <v>163</v>
      </c>
      <c r="F6" s="989" t="s">
        <v>570</v>
      </c>
    </row>
    <row r="7" spans="1:8" ht="15" customHeight="1" x14ac:dyDescent="0.25">
      <c r="A7" s="129" t="str">
        <f>CONCATENATE(B7,C7)</f>
        <v>EnglandArable</v>
      </c>
      <c r="B7" s="391" t="s">
        <v>97</v>
      </c>
      <c r="C7" s="392" t="s">
        <v>429</v>
      </c>
      <c r="D7" s="988">
        <f>ROUND(AVERAGE(222,288),0)</f>
        <v>255</v>
      </c>
      <c r="E7" s="992">
        <f>ROUND(AVERAGE(195,190),0)</f>
        <v>193</v>
      </c>
      <c r="F7" s="396" t="s">
        <v>428</v>
      </c>
    </row>
    <row r="8" spans="1:8" ht="15" customHeight="1" x14ac:dyDescent="0.25">
      <c r="A8" s="129" t="str">
        <f t="shared" si="0"/>
        <v>EnglandOther landuse type</v>
      </c>
      <c r="B8" s="261" t="s">
        <v>97</v>
      </c>
      <c r="C8" s="393" t="s">
        <v>194</v>
      </c>
      <c r="D8" s="993">
        <f>MIN(D5:D7)</f>
        <v>141</v>
      </c>
      <c r="E8" s="994">
        <f>MIN(E5:E7)</f>
        <v>163</v>
      </c>
      <c r="F8" s="402" t="s">
        <v>571</v>
      </c>
    </row>
    <row r="9" spans="1:8" ht="15" customHeight="1" x14ac:dyDescent="0.2">
      <c r="A9" s="129" t="str">
        <f t="shared" si="0"/>
        <v>Northern_IrelandCattle and Sheep (LFA)</v>
      </c>
      <c r="B9" s="260" t="s">
        <v>218</v>
      </c>
      <c r="C9" s="195" t="s">
        <v>92</v>
      </c>
      <c r="D9" s="995">
        <v>206</v>
      </c>
      <c r="E9" s="996">
        <v>318</v>
      </c>
      <c r="F9" s="398" t="s">
        <v>431</v>
      </c>
    </row>
    <row r="10" spans="1:8" ht="15" customHeight="1" x14ac:dyDescent="0.2">
      <c r="A10" s="129" t="str">
        <f t="shared" si="0"/>
        <v>Northern_IrelandCattle and Sheep (Lowland)</v>
      </c>
      <c r="B10" s="260" t="s">
        <v>218</v>
      </c>
      <c r="C10" s="195" t="s">
        <v>427</v>
      </c>
      <c r="D10" s="995">
        <v>228</v>
      </c>
      <c r="E10" s="996">
        <v>322</v>
      </c>
      <c r="F10" s="398" t="s">
        <v>430</v>
      </c>
    </row>
    <row r="11" spans="1:8" ht="15" customHeight="1" x14ac:dyDescent="0.25">
      <c r="A11" s="129" t="str">
        <f t="shared" si="0"/>
        <v>Northern_IrelandArable</v>
      </c>
      <c r="B11" s="260" t="s">
        <v>218</v>
      </c>
      <c r="C11" s="195" t="s">
        <v>429</v>
      </c>
      <c r="D11" s="988">
        <f>ROUND(AVERAGE(309,656),0)</f>
        <v>483</v>
      </c>
      <c r="E11" s="992">
        <f>ROUND(AVERAGE(310,306),0)</f>
        <v>308</v>
      </c>
      <c r="F11" s="398" t="s">
        <v>428</v>
      </c>
    </row>
    <row r="12" spans="1:8" ht="15" customHeight="1" x14ac:dyDescent="0.25">
      <c r="A12" s="129" t="str">
        <f t="shared" si="0"/>
        <v>Northern_IrelandOther landuse type</v>
      </c>
      <c r="B12" s="262" t="s">
        <v>218</v>
      </c>
      <c r="C12" s="394" t="s">
        <v>194</v>
      </c>
      <c r="D12" s="997">
        <f>MIN(D9:D11)</f>
        <v>206</v>
      </c>
      <c r="E12" s="998">
        <f>MIN(E9:E11)</f>
        <v>308</v>
      </c>
      <c r="F12" s="1004" t="s">
        <v>572</v>
      </c>
    </row>
    <row r="13" spans="1:8" ht="15" customHeight="1" x14ac:dyDescent="0.25">
      <c r="A13" s="129" t="str">
        <f t="shared" si="0"/>
        <v>ScotlandCattle and Sheep (LFA)</v>
      </c>
      <c r="B13" s="252" t="s">
        <v>96</v>
      </c>
      <c r="C13" s="193" t="s">
        <v>92</v>
      </c>
      <c r="D13" s="999">
        <v>99</v>
      </c>
      <c r="E13" s="1000">
        <v>83</v>
      </c>
      <c r="F13" s="990" t="s">
        <v>567</v>
      </c>
    </row>
    <row r="14" spans="1:8" ht="15" customHeight="1" x14ac:dyDescent="0.25">
      <c r="A14" s="129" t="str">
        <f>CONCATENATE(B14,C14)</f>
        <v>ScotlandCattle and Sheep (Lowland)</v>
      </c>
      <c r="B14" s="260" t="s">
        <v>96</v>
      </c>
      <c r="C14" s="195" t="s">
        <v>427</v>
      </c>
      <c r="D14" s="988">
        <v>144</v>
      </c>
      <c r="E14" s="991">
        <v>191</v>
      </c>
      <c r="F14" s="399" t="s">
        <v>552</v>
      </c>
    </row>
    <row r="15" spans="1:8" ht="15" customHeight="1" x14ac:dyDescent="0.25">
      <c r="A15" s="129" t="str">
        <f t="shared" si="0"/>
        <v>ScotlandArable</v>
      </c>
      <c r="B15" s="260" t="s">
        <v>96</v>
      </c>
      <c r="C15" s="195" t="s">
        <v>429</v>
      </c>
      <c r="D15" s="988">
        <f>ROUND(AVERAGE(229,401),0)</f>
        <v>315</v>
      </c>
      <c r="E15" s="992">
        <f>ROUND(AVERAGE(206,189),0)</f>
        <v>198</v>
      </c>
      <c r="F15" s="398" t="s">
        <v>428</v>
      </c>
    </row>
    <row r="16" spans="1:8" ht="15" customHeight="1" x14ac:dyDescent="0.25">
      <c r="A16" s="129" t="str">
        <f t="shared" si="0"/>
        <v>ScotlandOther landuse type</v>
      </c>
      <c r="B16" s="261" t="s">
        <v>96</v>
      </c>
      <c r="C16" s="393" t="s">
        <v>194</v>
      </c>
      <c r="D16" s="997">
        <f>MIN(D13:D15)</f>
        <v>99</v>
      </c>
      <c r="E16" s="1001">
        <f>MIN(E13:E15)</f>
        <v>83</v>
      </c>
      <c r="F16" s="397" t="s">
        <v>573</v>
      </c>
      <c r="G16" s="12"/>
      <c r="H16" s="12"/>
    </row>
    <row r="17" spans="1:8" ht="15" customHeight="1" x14ac:dyDescent="0.2">
      <c r="A17" s="129" t="str">
        <f t="shared" si="0"/>
        <v>WalesCattle and sheep (LFA)</v>
      </c>
      <c r="B17" s="252" t="s">
        <v>113</v>
      </c>
      <c r="C17" s="193" t="s">
        <v>435</v>
      </c>
      <c r="D17" s="405">
        <v>143</v>
      </c>
      <c r="E17" s="141">
        <v>145</v>
      </c>
      <c r="F17" s="400"/>
      <c r="G17" s="12"/>
      <c r="H17" s="12"/>
    </row>
    <row r="18" spans="1:8" ht="15" customHeight="1" x14ac:dyDescent="0.2">
      <c r="A18" s="129" t="str">
        <f>CONCATENATE(B18,C18)</f>
        <v>WalesCattle and Sheep (Lowland)</v>
      </c>
      <c r="B18" s="334" t="s">
        <v>113</v>
      </c>
      <c r="C18" s="195" t="s">
        <v>427</v>
      </c>
      <c r="D18" s="406">
        <v>208</v>
      </c>
      <c r="E18" s="142">
        <v>146</v>
      </c>
      <c r="F18" s="401" t="s">
        <v>432</v>
      </c>
      <c r="G18" s="12"/>
      <c r="H18" s="12"/>
    </row>
    <row r="19" spans="1:8" ht="30" customHeight="1" x14ac:dyDescent="0.2">
      <c r="A19" s="129" t="str">
        <f t="shared" si="0"/>
        <v>WalesArable</v>
      </c>
      <c r="B19" s="334" t="s">
        <v>113</v>
      </c>
      <c r="C19" s="195" t="s">
        <v>429</v>
      </c>
      <c r="D19" s="406">
        <v>186</v>
      </c>
      <c r="E19" s="142">
        <v>123</v>
      </c>
      <c r="F19" s="401" t="s">
        <v>433</v>
      </c>
      <c r="G19" s="12"/>
      <c r="H19" s="12"/>
    </row>
    <row r="20" spans="1:8" ht="15" customHeight="1" x14ac:dyDescent="0.2">
      <c r="A20" s="129" t="str">
        <f t="shared" si="0"/>
        <v>WalesOther landuse type</v>
      </c>
      <c r="B20" s="263" t="s">
        <v>113</v>
      </c>
      <c r="C20" s="393" t="s">
        <v>194</v>
      </c>
      <c r="D20" s="407">
        <f>MIN(D17:D19)</f>
        <v>143</v>
      </c>
      <c r="E20" s="264">
        <f>MIN(E17:E19)</f>
        <v>123</v>
      </c>
      <c r="F20" s="1004" t="s">
        <v>574</v>
      </c>
    </row>
    <row r="21" spans="1:8" x14ac:dyDescent="0.2">
      <c r="D21" s="408"/>
    </row>
    <row r="22" spans="1:8" ht="25.5" x14ac:dyDescent="0.2">
      <c r="B22" s="335" t="s">
        <v>104</v>
      </c>
      <c r="C22" s="336" t="s">
        <v>343</v>
      </c>
      <c r="D22" s="339" t="s">
        <v>244</v>
      </c>
      <c r="E22" s="958"/>
      <c r="F22" s="959"/>
    </row>
    <row r="23" spans="1:8" ht="89.25" x14ac:dyDescent="0.2">
      <c r="B23" s="409" t="s">
        <v>97</v>
      </c>
      <c r="C23" s="410">
        <v>10</v>
      </c>
      <c r="D23" s="338" t="s">
        <v>438</v>
      </c>
      <c r="E23" s="958"/>
      <c r="F23" s="959"/>
    </row>
    <row r="24" spans="1:8" ht="38.25" x14ac:dyDescent="0.2">
      <c r="B24" s="411" t="s">
        <v>218</v>
      </c>
      <c r="C24" s="410">
        <v>20</v>
      </c>
      <c r="D24" s="338" t="s">
        <v>434</v>
      </c>
      <c r="E24" s="12"/>
    </row>
    <row r="25" spans="1:8" ht="38.25" x14ac:dyDescent="0.2">
      <c r="B25" s="411" t="s">
        <v>96</v>
      </c>
      <c r="C25" s="410">
        <v>20</v>
      </c>
      <c r="D25" s="338" t="s">
        <v>437</v>
      </c>
      <c r="E25" s="12"/>
    </row>
    <row r="26" spans="1:8" ht="38.25" x14ac:dyDescent="0.2">
      <c r="B26" s="411" t="s">
        <v>113</v>
      </c>
      <c r="C26" s="410">
        <v>12</v>
      </c>
      <c r="D26" s="338" t="s">
        <v>440</v>
      </c>
      <c r="E26" s="12"/>
    </row>
    <row r="28" spans="1:8" x14ac:dyDescent="0.2">
      <c r="B28" s="337" t="s">
        <v>341</v>
      </c>
      <c r="C28" s="337" t="s">
        <v>305</v>
      </c>
      <c r="D28" s="337" t="s">
        <v>342</v>
      </c>
    </row>
    <row r="29" spans="1:8" ht="25.5" x14ac:dyDescent="0.2">
      <c r="B29" s="1023" t="s">
        <v>97</v>
      </c>
      <c r="C29" s="1012" t="s">
        <v>402</v>
      </c>
      <c r="D29" s="1012" t="s">
        <v>402</v>
      </c>
      <c r="F29" s="959"/>
    </row>
    <row r="30" spans="1:8" ht="63.75" x14ac:dyDescent="0.2">
      <c r="B30" s="1023" t="s">
        <v>114</v>
      </c>
      <c r="C30" s="1024" t="s">
        <v>423</v>
      </c>
      <c r="D30" s="1025" t="s">
        <v>551</v>
      </c>
      <c r="F30" s="959"/>
    </row>
    <row r="31" spans="1:8" ht="63.75" x14ac:dyDescent="0.2">
      <c r="B31" s="1023" t="s">
        <v>96</v>
      </c>
      <c r="C31" s="1012" t="s">
        <v>403</v>
      </c>
      <c r="D31" s="1026" t="s">
        <v>404</v>
      </c>
      <c r="F31" s="959"/>
    </row>
    <row r="32" spans="1:8" ht="25.5" x14ac:dyDescent="0.2">
      <c r="B32" s="1023" t="s">
        <v>113</v>
      </c>
      <c r="C32" s="1012" t="s">
        <v>402</v>
      </c>
      <c r="D32" s="1012" t="s">
        <v>402</v>
      </c>
    </row>
  </sheetData>
  <sheetProtection algorithmName="SHA-512" hashValue="Ts93BNCkGUVVAno3aFA2hxRd4BdiKebSBdtVCUF5Nr6XPSsN2g6T6qtn/oevMnTXdyyVrett8Cdi/VXge1L/qA==" saltValue="2Hkn6GWGqZGNyEMj2m4C2w==" spinCount="100000" sheet="1" objects="1" scenarios="1"/>
  <hyperlinks>
    <hyperlink ref="C29" r:id="rId1" display="http://www.farmbusinesssurvey.co.uk/DataBuilder/"/>
    <hyperlink ref="C32" r:id="rId2" display="http://www.farmbusinesssurvey.co.uk/DataBuilder/"/>
    <hyperlink ref="D32" r:id="rId3" display="http://www.farmbusinesssurvey.co.uk/DataBuilder/"/>
    <hyperlink ref="C31" r:id="rId4" display="https://www.gov.scot/publications/scottish-farm-business-income-annual-estimates-2019-2020/documents/"/>
    <hyperlink ref="D31" r:id="rId5"/>
    <hyperlink ref="D29" r:id="rId6" display="http://www.farmbusinesssurvey.co.uk/DataBuilder/"/>
    <hyperlink ref="C30" r:id="rId7" display="https://www.daera-ni.gov.uk/publications/farm-incomes-northern-ireland-2004-onwards"/>
    <hyperlink ref="D24" r:id="rId8" display="https://www.daera-ni.gov.uk/sites/default/files/publications/daera/Forest Expansion Scheme Questions and Answers 2020-2021.pdf"/>
    <hyperlink ref="D25" r:id="rId9"/>
    <hyperlink ref="D23" r:id="rId10"/>
    <hyperlink ref="D26" r:id="rId11" display="https://gov.wales/glastir-woodland-creation-window-11-september-2021-rules-booklet-html"/>
  </hyperlinks>
  <pageMargins left="0.7" right="0.7" top="0.75" bottom="0.75" header="0.3" footer="0.3"/>
  <pageSetup paperSize="9" orientation="portrait" horizontalDpi="90" verticalDpi="90" r:id="rId1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S160"/>
  <sheetViews>
    <sheetView topLeftCell="F1" zoomScale="120" zoomScaleNormal="120" workbookViewId="0">
      <selection activeCell="K4" sqref="K4"/>
    </sheetView>
  </sheetViews>
  <sheetFormatPr defaultRowHeight="12.75" x14ac:dyDescent="0.2"/>
  <cols>
    <col min="1" max="1" width="20.5" bestFit="1" customWidth="1"/>
    <col min="2" max="2" width="24.125" customWidth="1"/>
    <col min="3" max="3" width="22.875" bestFit="1" customWidth="1"/>
    <col min="4" max="4" width="38.25" customWidth="1"/>
    <col min="5" max="5" width="17.75" customWidth="1"/>
    <col min="6" max="6" width="4.625" customWidth="1"/>
    <col min="7" max="7" width="33.625" customWidth="1"/>
    <col min="8" max="8" width="4.375" customWidth="1"/>
    <col min="10" max="10" width="56.125" customWidth="1"/>
    <col min="11" max="11" width="18.5" customWidth="1"/>
    <col min="12" max="12" width="0" hidden="1" customWidth="1"/>
    <col min="13" max="13" width="18.75" hidden="1" customWidth="1"/>
    <col min="14" max="14" width="17" hidden="1" customWidth="1"/>
    <col min="15" max="15" width="27.375" hidden="1" customWidth="1"/>
    <col min="16" max="16" width="20.125" hidden="1" customWidth="1"/>
    <col min="17" max="18" width="29.375" hidden="1" customWidth="1"/>
    <col min="19" max="19" width="15.5" hidden="1" customWidth="1"/>
    <col min="20" max="20" width="0" hidden="1" customWidth="1"/>
    <col min="21" max="21" width="13.25" hidden="1" customWidth="1"/>
    <col min="22" max="22" width="16" hidden="1" customWidth="1"/>
    <col min="23" max="23" width="17" hidden="1" customWidth="1"/>
  </cols>
  <sheetData>
    <row r="1" spans="1:23" ht="26.25" customHeight="1" x14ac:dyDescent="0.25">
      <c r="A1" s="207" t="s">
        <v>215</v>
      </c>
      <c r="B1" s="208"/>
      <c r="C1" s="207"/>
      <c r="D1" s="207"/>
      <c r="E1" s="207"/>
      <c r="G1" s="168" t="s">
        <v>324</v>
      </c>
      <c r="I1" s="190" t="s">
        <v>309</v>
      </c>
      <c r="J1" s="241"/>
      <c r="K1" s="178"/>
      <c r="M1" s="341" t="s">
        <v>409</v>
      </c>
      <c r="N1" s="192"/>
      <c r="O1" s="192"/>
      <c r="P1" s="192"/>
      <c r="Q1" s="372"/>
      <c r="R1" s="192"/>
      <c r="S1" s="193"/>
      <c r="U1" s="1079" t="s">
        <v>469</v>
      </c>
      <c r="V1" s="1080"/>
      <c r="W1" s="1081"/>
    </row>
    <row r="2" spans="1:23" x14ac:dyDescent="0.2">
      <c r="A2" s="239" t="s">
        <v>221</v>
      </c>
      <c r="B2" s="240" t="s">
        <v>97</v>
      </c>
      <c r="C2" s="240" t="s">
        <v>96</v>
      </c>
      <c r="D2" s="240" t="s">
        <v>113</v>
      </c>
      <c r="E2" s="240" t="s">
        <v>218</v>
      </c>
      <c r="G2" s="245" t="s">
        <v>225</v>
      </c>
      <c r="I2" s="242" t="s">
        <v>310</v>
      </c>
      <c r="J2" s="243"/>
      <c r="K2" s="244"/>
      <c r="M2" s="342" t="s">
        <v>295</v>
      </c>
      <c r="N2" s="194"/>
      <c r="O2" s="200" t="s">
        <v>285</v>
      </c>
      <c r="P2" s="194"/>
      <c r="Q2" s="373" t="s">
        <v>290</v>
      </c>
      <c r="R2" s="191"/>
      <c r="S2" s="195"/>
      <c r="U2" s="343"/>
      <c r="V2" s="188" t="s">
        <v>286</v>
      </c>
      <c r="W2" s="189"/>
    </row>
    <row r="3" spans="1:23" ht="25.5" x14ac:dyDescent="0.2">
      <c r="A3" s="209" t="s">
        <v>217</v>
      </c>
      <c r="B3" s="210" t="s">
        <v>216</v>
      </c>
      <c r="C3" s="210" t="s">
        <v>216</v>
      </c>
      <c r="D3" s="210" t="s">
        <v>216</v>
      </c>
      <c r="E3" s="210" t="s">
        <v>216</v>
      </c>
      <c r="G3" s="245" t="s">
        <v>226</v>
      </c>
      <c r="I3" s="182" t="s">
        <v>32</v>
      </c>
      <c r="J3" s="183">
        <f>IFERROR(IF(OR('Data Entry'!B6="Scotland", 'Data Entry'!B6="Wales", 'Data Entry'!B6="Northern_Ireland",AND('Data Entry'!B7="NO",'Data Entry'!B6="England")),"Version 1",IF(AND('Data Entry'!B6="England",'Data Entry'!B7="Yes",'Data Entry'!B8="10-Yearly"),"Version 2",IF(AND('Data Entry'!B6="England",'Data Entry'!B7="Yes",'Data Entry'!B8="5-Yearly"),"Version 3",0))),"ERROR")</f>
        <v>0</v>
      </c>
      <c r="K3" s="184" t="str">
        <f>IF(J3="Version 1","VERSION_1",IF(J3="Version 2","VERSION_2",IF(J3="Version 3","VERSION_3","Error")))</f>
        <v>Error</v>
      </c>
      <c r="M3" s="361"/>
      <c r="N3" s="362" t="s">
        <v>294</v>
      </c>
      <c r="O3" s="370" t="s">
        <v>410</v>
      </c>
      <c r="P3" s="363" t="s">
        <v>293</v>
      </c>
      <c r="Q3" s="374" t="s">
        <v>411</v>
      </c>
      <c r="R3" s="371" t="s">
        <v>412</v>
      </c>
      <c r="S3" s="379" t="s">
        <v>293</v>
      </c>
      <c r="U3" s="343" t="s">
        <v>300</v>
      </c>
      <c r="V3" s="196">
        <f>AVERAGE(O4,O11)</f>
        <v>1282</v>
      </c>
      <c r="W3" s="197">
        <f>AVERAGE(Q4,Q11)</f>
        <v>1882</v>
      </c>
    </row>
    <row r="4" spans="1:23" ht="22.5" customHeight="1" x14ac:dyDescent="0.2">
      <c r="A4" s="162"/>
      <c r="B4" s="163" t="s">
        <v>98</v>
      </c>
      <c r="C4" s="163" t="s">
        <v>92</v>
      </c>
      <c r="D4" s="390" t="s">
        <v>191</v>
      </c>
      <c r="E4" s="163" t="s">
        <v>88</v>
      </c>
      <c r="G4" s="246" t="s">
        <v>227</v>
      </c>
      <c r="I4" s="185"/>
      <c r="J4" s="186"/>
      <c r="K4" s="187" t="str">
        <f>CONCATENATE(K3,"_COSTS")</f>
        <v>Error_COSTS</v>
      </c>
      <c r="M4" s="364">
        <v>1</v>
      </c>
      <c r="N4" s="365">
        <v>1</v>
      </c>
      <c r="O4" s="202">
        <v>1400</v>
      </c>
      <c r="P4" s="203">
        <f>O4</f>
        <v>1400</v>
      </c>
      <c r="Q4" s="375">
        <v>2100</v>
      </c>
      <c r="R4" s="202">
        <v>100</v>
      </c>
      <c r="S4" s="380">
        <f>SUM(Q4:R4)</f>
        <v>2200</v>
      </c>
      <c r="U4" s="344" t="s">
        <v>301</v>
      </c>
      <c r="V4" s="198">
        <f>AVERAGE(P6,P13)</f>
        <v>466.89285714285717</v>
      </c>
      <c r="W4" s="199">
        <f>AVERAGE(S6,S13)</f>
        <v>493.67857142857144</v>
      </c>
    </row>
    <row r="5" spans="1:23" x14ac:dyDescent="0.2">
      <c r="A5" s="162"/>
      <c r="B5" s="163" t="s">
        <v>89</v>
      </c>
      <c r="C5" s="163" t="s">
        <v>98</v>
      </c>
      <c r="D5" s="390" t="s">
        <v>399</v>
      </c>
      <c r="E5" s="163" t="s">
        <v>115</v>
      </c>
      <c r="G5" s="246" t="s">
        <v>228</v>
      </c>
      <c r="M5" s="364" t="s">
        <v>287</v>
      </c>
      <c r="N5" s="365">
        <v>3</v>
      </c>
      <c r="O5" s="203">
        <v>2500</v>
      </c>
      <c r="P5" s="203">
        <f>O5/N5</f>
        <v>833.33333333333337</v>
      </c>
      <c r="Q5" s="360">
        <f>3000</f>
        <v>3000</v>
      </c>
      <c r="R5" s="203">
        <v>100</v>
      </c>
      <c r="S5" s="381">
        <f>SUM(Q5:R5)/N5</f>
        <v>1033.3333333333333</v>
      </c>
    </row>
    <row r="6" spans="1:23" x14ac:dyDescent="0.2">
      <c r="A6" s="162"/>
      <c r="B6" s="163" t="s">
        <v>90</v>
      </c>
      <c r="C6" s="163" t="s">
        <v>89</v>
      </c>
      <c r="D6" s="390" t="s">
        <v>400</v>
      </c>
      <c r="E6" s="163" t="s">
        <v>116</v>
      </c>
      <c r="G6" s="247" t="s">
        <v>229</v>
      </c>
      <c r="M6" s="364" t="s">
        <v>289</v>
      </c>
      <c r="N6" s="365">
        <v>7</v>
      </c>
      <c r="O6" s="203">
        <v>3600</v>
      </c>
      <c r="P6" s="202">
        <f>O6/N6</f>
        <v>514.28571428571433</v>
      </c>
      <c r="Q6" s="360">
        <f>3600</f>
        <v>3600</v>
      </c>
      <c r="R6" s="203">
        <v>200</v>
      </c>
      <c r="S6" s="382">
        <f>SUM(Q6:R6)/N6</f>
        <v>542.85714285714289</v>
      </c>
    </row>
    <row r="7" spans="1:23" x14ac:dyDescent="0.2">
      <c r="A7" s="162"/>
      <c r="B7" s="163" t="s">
        <v>100</v>
      </c>
      <c r="C7" s="163" t="s">
        <v>188</v>
      </c>
      <c r="D7" s="390" t="s">
        <v>189</v>
      </c>
      <c r="E7" s="163" t="s">
        <v>117</v>
      </c>
      <c r="M7" s="364" t="s">
        <v>288</v>
      </c>
      <c r="N7" s="365">
        <v>12.5</v>
      </c>
      <c r="O7" s="203">
        <v>4800</v>
      </c>
      <c r="P7" s="203">
        <f>O7/N7</f>
        <v>384</v>
      </c>
      <c r="Q7" s="360">
        <f>4800</f>
        <v>4800</v>
      </c>
      <c r="R7" s="203">
        <v>300</v>
      </c>
      <c r="S7" s="381">
        <f>SUM(Q7:R7)/N7</f>
        <v>408</v>
      </c>
    </row>
    <row r="8" spans="1:23" x14ac:dyDescent="0.2">
      <c r="A8" s="162"/>
      <c r="B8" s="163" t="s">
        <v>99</v>
      </c>
      <c r="C8" s="163" t="s">
        <v>90</v>
      </c>
      <c r="D8" s="390" t="s">
        <v>422</v>
      </c>
      <c r="E8" s="163" t="s">
        <v>194</v>
      </c>
      <c r="M8" s="366"/>
      <c r="N8" s="365"/>
      <c r="O8" s="204"/>
      <c r="P8" s="203"/>
      <c r="Q8" s="360"/>
      <c r="R8" s="203"/>
      <c r="S8" s="380"/>
    </row>
    <row r="9" spans="1:23" x14ac:dyDescent="0.2">
      <c r="A9" s="162"/>
      <c r="B9" s="163" t="s">
        <v>103</v>
      </c>
      <c r="C9" s="163" t="s">
        <v>189</v>
      </c>
      <c r="D9" s="390" t="s">
        <v>401</v>
      </c>
      <c r="E9" s="163"/>
      <c r="M9" s="367" t="s">
        <v>296</v>
      </c>
      <c r="N9" s="358"/>
      <c r="O9" s="205" t="s">
        <v>285</v>
      </c>
      <c r="P9" s="368"/>
      <c r="Q9" s="376" t="s">
        <v>290</v>
      </c>
      <c r="R9" s="205"/>
      <c r="S9" s="383"/>
    </row>
    <row r="10" spans="1:23" x14ac:dyDescent="0.2">
      <c r="A10" s="162"/>
      <c r="B10" s="163" t="s">
        <v>101</v>
      </c>
      <c r="C10" s="163" t="s">
        <v>190</v>
      </c>
      <c r="D10" s="390" t="s">
        <v>88</v>
      </c>
      <c r="E10" s="163"/>
      <c r="M10" s="361"/>
      <c r="N10" s="362" t="s">
        <v>294</v>
      </c>
      <c r="O10" s="201" t="s">
        <v>291</v>
      </c>
      <c r="P10" s="363" t="s">
        <v>293</v>
      </c>
      <c r="Q10" s="377" t="s">
        <v>292</v>
      </c>
      <c r="R10" s="363"/>
      <c r="S10" s="379" t="s">
        <v>293</v>
      </c>
    </row>
    <row r="11" spans="1:23" x14ac:dyDescent="0.2">
      <c r="A11" s="162"/>
      <c r="B11" s="163" t="s">
        <v>102</v>
      </c>
      <c r="C11" s="163" t="s">
        <v>94</v>
      </c>
      <c r="D11" s="390" t="s">
        <v>89</v>
      </c>
      <c r="E11" s="163"/>
      <c r="M11" s="364">
        <v>1</v>
      </c>
      <c r="N11" s="365">
        <v>1</v>
      </c>
      <c r="O11" s="202">
        <v>1164</v>
      </c>
      <c r="P11" s="203">
        <f>O11</f>
        <v>1164</v>
      </c>
      <c r="Q11" s="375">
        <f>O11+500</f>
        <v>1664</v>
      </c>
      <c r="R11" s="202">
        <v>100</v>
      </c>
      <c r="S11" s="380">
        <f>SUM(Q11:R11)</f>
        <v>1764</v>
      </c>
    </row>
    <row r="12" spans="1:23" x14ac:dyDescent="0.2">
      <c r="A12" s="162"/>
      <c r="B12" s="163" t="s">
        <v>194</v>
      </c>
      <c r="C12" s="163" t="s">
        <v>91</v>
      </c>
      <c r="D12" s="390" t="s">
        <v>195</v>
      </c>
      <c r="E12" s="163"/>
      <c r="M12" s="364" t="s">
        <v>297</v>
      </c>
      <c r="N12" s="365">
        <v>3.5</v>
      </c>
      <c r="O12" s="203">
        <f>500+1870</f>
        <v>2370</v>
      </c>
      <c r="P12" s="203">
        <f>O12/N12</f>
        <v>677.14285714285711</v>
      </c>
      <c r="Q12" s="360">
        <f>O12</f>
        <v>2370</v>
      </c>
      <c r="R12" s="203">
        <v>100</v>
      </c>
      <c r="S12" s="381">
        <f>SUM(Q12:R12)/N12</f>
        <v>705.71428571428567</v>
      </c>
    </row>
    <row r="13" spans="1:23" x14ac:dyDescent="0.2">
      <c r="A13" s="163"/>
      <c r="B13" s="163"/>
      <c r="C13" s="163" t="s">
        <v>93</v>
      </c>
      <c r="D13" s="390" t="s">
        <v>194</v>
      </c>
      <c r="E13" s="163"/>
      <c r="M13" s="364" t="s">
        <v>298</v>
      </c>
      <c r="N13" s="365">
        <v>8</v>
      </c>
      <c r="O13" s="203">
        <f>500+2856</f>
        <v>3356</v>
      </c>
      <c r="P13" s="202">
        <f>O13/N13</f>
        <v>419.5</v>
      </c>
      <c r="Q13" s="360">
        <f>O13</f>
        <v>3356</v>
      </c>
      <c r="R13" s="203">
        <v>200</v>
      </c>
      <c r="S13" s="382">
        <f>SUM(Q13:R13)/N13</f>
        <v>444.5</v>
      </c>
    </row>
    <row r="14" spans="1:23" x14ac:dyDescent="0.2">
      <c r="A14" s="164"/>
      <c r="B14" s="164"/>
      <c r="C14" s="164" t="s">
        <v>194</v>
      </c>
      <c r="D14" s="164"/>
      <c r="E14" s="164"/>
      <c r="M14" s="369" t="s">
        <v>299</v>
      </c>
      <c r="N14" s="330">
        <v>13</v>
      </c>
      <c r="O14" s="206">
        <f>500+3286</f>
        <v>3786</v>
      </c>
      <c r="P14" s="206">
        <f>O14/N14</f>
        <v>291.23076923076923</v>
      </c>
      <c r="Q14" s="378">
        <f>O14</f>
        <v>3786</v>
      </c>
      <c r="R14" s="206">
        <v>300</v>
      </c>
      <c r="S14" s="384">
        <f>SUM(Q14:R14)/N14</f>
        <v>314.30769230769232</v>
      </c>
    </row>
    <row r="15" spans="1:23" x14ac:dyDescent="0.2">
      <c r="M15" s="340"/>
      <c r="N15" s="128"/>
      <c r="O15" s="128"/>
      <c r="P15" s="128"/>
      <c r="Q15" s="128"/>
      <c r="R15" s="128"/>
      <c r="S15" s="128"/>
    </row>
    <row r="16" spans="1:23" x14ac:dyDescent="0.2">
      <c r="P16" s="128"/>
      <c r="Q16" s="128"/>
      <c r="R16" s="128"/>
      <c r="S16" s="128"/>
    </row>
    <row r="17" spans="16:19" x14ac:dyDescent="0.2">
      <c r="P17" s="128"/>
      <c r="Q17" s="128"/>
      <c r="R17" s="128"/>
      <c r="S17" s="128"/>
    </row>
    <row r="18" spans="16:19" x14ac:dyDescent="0.2">
      <c r="P18" s="128"/>
      <c r="Q18" s="128"/>
      <c r="R18" s="128"/>
      <c r="S18" s="128"/>
    </row>
    <row r="19" spans="16:19" x14ac:dyDescent="0.2">
      <c r="P19" s="128"/>
      <c r="Q19" s="128"/>
      <c r="R19" s="128"/>
      <c r="S19" s="128"/>
    </row>
    <row r="59" spans="1:97" x14ac:dyDescent="0.2">
      <c r="J59" s="128"/>
      <c r="K59" s="128"/>
      <c r="U59" s="128"/>
    </row>
    <row r="60" spans="1:97" x14ac:dyDescent="0.2">
      <c r="A60" s="248" t="s">
        <v>3</v>
      </c>
      <c r="B60" s="249">
        <v>0.03</v>
      </c>
      <c r="C60" s="249">
        <v>0.04</v>
      </c>
      <c r="D60" s="956" t="s">
        <v>325</v>
      </c>
      <c r="E60" s="128"/>
      <c r="F60" s="128"/>
      <c r="G60" s="128"/>
      <c r="L60" s="128"/>
      <c r="O60" s="128"/>
      <c r="P60" s="128"/>
      <c r="Q60" s="128"/>
      <c r="R60" s="128"/>
      <c r="T60" s="128"/>
      <c r="X60" s="128"/>
      <c r="Y60" s="128"/>
      <c r="Z60" s="128"/>
      <c r="AC60" s="128"/>
      <c r="AD60" s="128"/>
      <c r="AE60" s="128"/>
      <c r="AH60" s="128"/>
      <c r="AI60" s="128"/>
      <c r="AJ60" s="128"/>
      <c r="AM60" s="128"/>
      <c r="AN60" s="128"/>
      <c r="AO60" s="128"/>
      <c r="AR60" s="128"/>
      <c r="AS60" s="128"/>
      <c r="AT60" s="128"/>
      <c r="AW60" s="128"/>
      <c r="AX60" s="128"/>
      <c r="AY60" s="128"/>
      <c r="BB60" s="128"/>
      <c r="BC60" s="128"/>
      <c r="BD60" s="128"/>
      <c r="BG60" s="128"/>
      <c r="BH60" s="128"/>
      <c r="BI60" s="128"/>
      <c r="BL60" s="128"/>
      <c r="BM60" s="128"/>
      <c r="BN60" s="128"/>
      <c r="BQ60" s="128"/>
      <c r="BR60" s="128"/>
      <c r="BS60" s="128"/>
      <c r="BX60" s="128"/>
      <c r="BY60" s="128"/>
      <c r="BZ60" s="128"/>
      <c r="CC60" s="128"/>
      <c r="CD60" s="128"/>
      <c r="CE60" s="128"/>
      <c r="CH60" s="128"/>
      <c r="CI60" s="128"/>
      <c r="CJ60" s="128"/>
      <c r="CM60" s="128"/>
      <c r="CN60" s="128"/>
      <c r="CO60" s="128"/>
      <c r="CR60" s="128"/>
      <c r="CS60" s="128"/>
    </row>
    <row r="61" spans="1:97" x14ac:dyDescent="0.2">
      <c r="A61">
        <v>0</v>
      </c>
      <c r="B61" s="172">
        <f>B60</f>
        <v>0.03</v>
      </c>
      <c r="C61" s="172">
        <f>C60</f>
        <v>0.04</v>
      </c>
      <c r="D61" s="957">
        <v>3.5000000000000003E-2</v>
      </c>
    </row>
    <row r="62" spans="1:97" x14ac:dyDescent="0.2">
      <c r="A62">
        <v>1</v>
      </c>
      <c r="B62" s="172">
        <f t="shared" ref="B62:B125" si="0">B61</f>
        <v>0.03</v>
      </c>
      <c r="C62" s="172">
        <f t="shared" ref="C62:C125" si="1">C61</f>
        <v>0.04</v>
      </c>
      <c r="D62" s="957">
        <v>3.5000000000000003E-2</v>
      </c>
    </row>
    <row r="63" spans="1:97" x14ac:dyDescent="0.2">
      <c r="A63" s="128">
        <v>2</v>
      </c>
      <c r="B63" s="172">
        <f t="shared" si="0"/>
        <v>0.03</v>
      </c>
      <c r="C63" s="172">
        <f t="shared" si="1"/>
        <v>0.04</v>
      </c>
      <c r="D63" s="957">
        <v>3.5000000000000003E-2</v>
      </c>
    </row>
    <row r="64" spans="1:97" x14ac:dyDescent="0.2">
      <c r="A64" s="128">
        <v>3</v>
      </c>
      <c r="B64" s="172">
        <f t="shared" si="0"/>
        <v>0.03</v>
      </c>
      <c r="C64" s="172">
        <f t="shared" si="1"/>
        <v>0.04</v>
      </c>
      <c r="D64" s="957">
        <v>3.5000000000000003E-2</v>
      </c>
    </row>
    <row r="65" spans="1:4" x14ac:dyDescent="0.2">
      <c r="A65">
        <v>4</v>
      </c>
      <c r="B65" s="172">
        <f t="shared" si="0"/>
        <v>0.03</v>
      </c>
      <c r="C65" s="172">
        <f t="shared" si="1"/>
        <v>0.04</v>
      </c>
      <c r="D65" s="957">
        <v>3.5000000000000003E-2</v>
      </c>
    </row>
    <row r="66" spans="1:4" x14ac:dyDescent="0.2">
      <c r="A66">
        <v>5</v>
      </c>
      <c r="B66" s="172">
        <f t="shared" si="0"/>
        <v>0.03</v>
      </c>
      <c r="C66" s="172">
        <f t="shared" si="1"/>
        <v>0.04</v>
      </c>
      <c r="D66" s="957">
        <v>3.5000000000000003E-2</v>
      </c>
    </row>
    <row r="67" spans="1:4" x14ac:dyDescent="0.2">
      <c r="A67" s="128">
        <v>6</v>
      </c>
      <c r="B67" s="172">
        <f t="shared" si="0"/>
        <v>0.03</v>
      </c>
      <c r="C67" s="172">
        <f t="shared" si="1"/>
        <v>0.04</v>
      </c>
      <c r="D67" s="957">
        <v>3.5000000000000003E-2</v>
      </c>
    </row>
    <row r="68" spans="1:4" x14ac:dyDescent="0.2">
      <c r="A68" s="128">
        <v>7</v>
      </c>
      <c r="B68" s="172">
        <f t="shared" si="0"/>
        <v>0.03</v>
      </c>
      <c r="C68" s="172">
        <f t="shared" si="1"/>
        <v>0.04</v>
      </c>
      <c r="D68" s="957">
        <v>3.5000000000000003E-2</v>
      </c>
    </row>
    <row r="69" spans="1:4" x14ac:dyDescent="0.2">
      <c r="A69">
        <v>8</v>
      </c>
      <c r="B69" s="172">
        <f t="shared" si="0"/>
        <v>0.03</v>
      </c>
      <c r="C69" s="172">
        <f t="shared" si="1"/>
        <v>0.04</v>
      </c>
      <c r="D69" s="957">
        <v>3.5000000000000003E-2</v>
      </c>
    </row>
    <row r="70" spans="1:4" x14ac:dyDescent="0.2">
      <c r="A70">
        <v>9</v>
      </c>
      <c r="B70" s="172">
        <f t="shared" si="0"/>
        <v>0.03</v>
      </c>
      <c r="C70" s="172">
        <f t="shared" si="1"/>
        <v>0.04</v>
      </c>
      <c r="D70" s="957">
        <v>3.5000000000000003E-2</v>
      </c>
    </row>
    <row r="71" spans="1:4" x14ac:dyDescent="0.2">
      <c r="A71" s="128">
        <v>10</v>
      </c>
      <c r="B71" s="172">
        <f t="shared" si="0"/>
        <v>0.03</v>
      </c>
      <c r="C71" s="172">
        <f t="shared" si="1"/>
        <v>0.04</v>
      </c>
      <c r="D71" s="957">
        <v>3.5000000000000003E-2</v>
      </c>
    </row>
    <row r="72" spans="1:4" x14ac:dyDescent="0.2">
      <c r="A72" s="128">
        <v>11</v>
      </c>
      <c r="B72" s="172">
        <f t="shared" si="0"/>
        <v>0.03</v>
      </c>
      <c r="C72" s="172">
        <f t="shared" si="1"/>
        <v>0.04</v>
      </c>
      <c r="D72" s="957">
        <v>3.5000000000000003E-2</v>
      </c>
    </row>
    <row r="73" spans="1:4" x14ac:dyDescent="0.2">
      <c r="A73">
        <v>12</v>
      </c>
      <c r="B73" s="172">
        <f t="shared" si="0"/>
        <v>0.03</v>
      </c>
      <c r="C73" s="172">
        <f t="shared" si="1"/>
        <v>0.04</v>
      </c>
      <c r="D73" s="957">
        <v>3.5000000000000003E-2</v>
      </c>
    </row>
    <row r="74" spans="1:4" x14ac:dyDescent="0.2">
      <c r="A74">
        <v>13</v>
      </c>
      <c r="B74" s="172">
        <f t="shared" si="0"/>
        <v>0.03</v>
      </c>
      <c r="C74" s="172">
        <f t="shared" si="1"/>
        <v>0.04</v>
      </c>
      <c r="D74" s="957">
        <v>3.5000000000000003E-2</v>
      </c>
    </row>
    <row r="75" spans="1:4" x14ac:dyDescent="0.2">
      <c r="A75" s="128">
        <v>14</v>
      </c>
      <c r="B75" s="172">
        <f t="shared" si="0"/>
        <v>0.03</v>
      </c>
      <c r="C75" s="172">
        <f t="shared" si="1"/>
        <v>0.04</v>
      </c>
      <c r="D75" s="957">
        <v>3.5000000000000003E-2</v>
      </c>
    </row>
    <row r="76" spans="1:4" x14ac:dyDescent="0.2">
      <c r="A76" s="128">
        <v>15</v>
      </c>
      <c r="B76" s="172">
        <f t="shared" si="0"/>
        <v>0.03</v>
      </c>
      <c r="C76" s="172">
        <f t="shared" si="1"/>
        <v>0.04</v>
      </c>
      <c r="D76" s="957">
        <v>3.5000000000000003E-2</v>
      </c>
    </row>
    <row r="77" spans="1:4" x14ac:dyDescent="0.2">
      <c r="A77">
        <v>16</v>
      </c>
      <c r="B77" s="172">
        <f t="shared" si="0"/>
        <v>0.03</v>
      </c>
      <c r="C77" s="172">
        <f t="shared" si="1"/>
        <v>0.04</v>
      </c>
      <c r="D77" s="957">
        <v>3.5000000000000003E-2</v>
      </c>
    </row>
    <row r="78" spans="1:4" x14ac:dyDescent="0.2">
      <c r="A78">
        <v>17</v>
      </c>
      <c r="B78" s="172">
        <f t="shared" si="0"/>
        <v>0.03</v>
      </c>
      <c r="C78" s="172">
        <f t="shared" si="1"/>
        <v>0.04</v>
      </c>
      <c r="D78" s="957">
        <v>3.5000000000000003E-2</v>
      </c>
    </row>
    <row r="79" spans="1:4" x14ac:dyDescent="0.2">
      <c r="A79" s="128">
        <v>18</v>
      </c>
      <c r="B79" s="172">
        <f t="shared" si="0"/>
        <v>0.03</v>
      </c>
      <c r="C79" s="172">
        <f t="shared" si="1"/>
        <v>0.04</v>
      </c>
      <c r="D79" s="957">
        <v>3.5000000000000003E-2</v>
      </c>
    </row>
    <row r="80" spans="1:4" x14ac:dyDescent="0.2">
      <c r="A80" s="128">
        <v>19</v>
      </c>
      <c r="B80" s="172">
        <f t="shared" si="0"/>
        <v>0.03</v>
      </c>
      <c r="C80" s="172">
        <f t="shared" si="1"/>
        <v>0.04</v>
      </c>
      <c r="D80" s="957">
        <v>3.5000000000000003E-2</v>
      </c>
    </row>
    <row r="81" spans="1:4" x14ac:dyDescent="0.2">
      <c r="A81">
        <v>20</v>
      </c>
      <c r="B81" s="172">
        <f t="shared" si="0"/>
        <v>0.03</v>
      </c>
      <c r="C81" s="172">
        <f t="shared" si="1"/>
        <v>0.04</v>
      </c>
      <c r="D81" s="957">
        <v>3.5000000000000003E-2</v>
      </c>
    </row>
    <row r="82" spans="1:4" x14ac:dyDescent="0.2">
      <c r="A82">
        <v>21</v>
      </c>
      <c r="B82" s="172">
        <f t="shared" si="0"/>
        <v>0.03</v>
      </c>
      <c r="C82" s="172">
        <f t="shared" si="1"/>
        <v>0.04</v>
      </c>
      <c r="D82" s="957">
        <v>3.5000000000000003E-2</v>
      </c>
    </row>
    <row r="83" spans="1:4" x14ac:dyDescent="0.2">
      <c r="A83" s="128">
        <v>22</v>
      </c>
      <c r="B83" s="172">
        <f t="shared" si="0"/>
        <v>0.03</v>
      </c>
      <c r="C83" s="172">
        <f t="shared" si="1"/>
        <v>0.04</v>
      </c>
      <c r="D83" s="957">
        <v>3.5000000000000003E-2</v>
      </c>
    </row>
    <row r="84" spans="1:4" x14ac:dyDescent="0.2">
      <c r="A84" s="128">
        <v>23</v>
      </c>
      <c r="B84" s="172">
        <f t="shared" si="0"/>
        <v>0.03</v>
      </c>
      <c r="C84" s="172">
        <f t="shared" si="1"/>
        <v>0.04</v>
      </c>
      <c r="D84" s="957">
        <v>3.5000000000000003E-2</v>
      </c>
    </row>
    <row r="85" spans="1:4" x14ac:dyDescent="0.2">
      <c r="A85">
        <v>24</v>
      </c>
      <c r="B85" s="172">
        <f t="shared" si="0"/>
        <v>0.03</v>
      </c>
      <c r="C85" s="172">
        <f t="shared" si="1"/>
        <v>0.04</v>
      </c>
      <c r="D85" s="957">
        <v>3.5000000000000003E-2</v>
      </c>
    </row>
    <row r="86" spans="1:4" x14ac:dyDescent="0.2">
      <c r="A86">
        <v>25</v>
      </c>
      <c r="B86" s="172">
        <f t="shared" si="0"/>
        <v>0.03</v>
      </c>
      <c r="C86" s="172">
        <f t="shared" si="1"/>
        <v>0.04</v>
      </c>
      <c r="D86" s="957">
        <v>3.5000000000000003E-2</v>
      </c>
    </row>
    <row r="87" spans="1:4" x14ac:dyDescent="0.2">
      <c r="A87" s="128">
        <v>26</v>
      </c>
      <c r="B87" s="172">
        <f t="shared" si="0"/>
        <v>0.03</v>
      </c>
      <c r="C87" s="172">
        <f t="shared" si="1"/>
        <v>0.04</v>
      </c>
      <c r="D87" s="957">
        <v>3.5000000000000003E-2</v>
      </c>
    </row>
    <row r="88" spans="1:4" x14ac:dyDescent="0.2">
      <c r="A88" s="128">
        <v>27</v>
      </c>
      <c r="B88" s="172">
        <f t="shared" si="0"/>
        <v>0.03</v>
      </c>
      <c r="C88" s="172">
        <f t="shared" si="1"/>
        <v>0.04</v>
      </c>
      <c r="D88" s="957">
        <v>3.5000000000000003E-2</v>
      </c>
    </row>
    <row r="89" spans="1:4" x14ac:dyDescent="0.2">
      <c r="A89">
        <v>28</v>
      </c>
      <c r="B89" s="172">
        <f t="shared" si="0"/>
        <v>0.03</v>
      </c>
      <c r="C89" s="172">
        <f t="shared" si="1"/>
        <v>0.04</v>
      </c>
      <c r="D89" s="957">
        <v>3.5000000000000003E-2</v>
      </c>
    </row>
    <row r="90" spans="1:4" x14ac:dyDescent="0.2">
      <c r="A90">
        <v>29</v>
      </c>
      <c r="B90" s="172">
        <f t="shared" si="0"/>
        <v>0.03</v>
      </c>
      <c r="C90" s="172">
        <f t="shared" si="1"/>
        <v>0.04</v>
      </c>
      <c r="D90" s="957">
        <v>3.5000000000000003E-2</v>
      </c>
    </row>
    <row r="91" spans="1:4" x14ac:dyDescent="0.2">
      <c r="A91" s="128">
        <v>30</v>
      </c>
      <c r="B91" s="172">
        <f t="shared" si="0"/>
        <v>0.03</v>
      </c>
      <c r="C91" s="172">
        <f t="shared" si="1"/>
        <v>0.04</v>
      </c>
      <c r="D91" s="957">
        <v>3.5000000000000003E-2</v>
      </c>
    </row>
    <row r="92" spans="1:4" x14ac:dyDescent="0.2">
      <c r="A92" s="128">
        <v>31</v>
      </c>
      <c r="B92" s="172">
        <f t="shared" si="0"/>
        <v>0.03</v>
      </c>
      <c r="C92" s="172">
        <f t="shared" si="1"/>
        <v>0.04</v>
      </c>
      <c r="D92" s="957">
        <v>0.03</v>
      </c>
    </row>
    <row r="93" spans="1:4" x14ac:dyDescent="0.2">
      <c r="A93">
        <v>32</v>
      </c>
      <c r="B93" s="172">
        <f t="shared" si="0"/>
        <v>0.03</v>
      </c>
      <c r="C93" s="172">
        <f t="shared" si="1"/>
        <v>0.04</v>
      </c>
      <c r="D93" s="957">
        <v>0.03</v>
      </c>
    </row>
    <row r="94" spans="1:4" x14ac:dyDescent="0.2">
      <c r="A94">
        <v>33</v>
      </c>
      <c r="B94" s="172">
        <f t="shared" si="0"/>
        <v>0.03</v>
      </c>
      <c r="C94" s="172">
        <f t="shared" si="1"/>
        <v>0.04</v>
      </c>
      <c r="D94" s="957">
        <v>0.03</v>
      </c>
    </row>
    <row r="95" spans="1:4" x14ac:dyDescent="0.2">
      <c r="A95" s="128">
        <v>34</v>
      </c>
      <c r="B95" s="172">
        <f t="shared" si="0"/>
        <v>0.03</v>
      </c>
      <c r="C95" s="172">
        <f t="shared" si="1"/>
        <v>0.04</v>
      </c>
      <c r="D95" s="957">
        <v>0.03</v>
      </c>
    </row>
    <row r="96" spans="1:4" x14ac:dyDescent="0.2">
      <c r="A96" s="128">
        <v>35</v>
      </c>
      <c r="B96" s="172">
        <f t="shared" si="0"/>
        <v>0.03</v>
      </c>
      <c r="C96" s="172">
        <f t="shared" si="1"/>
        <v>0.04</v>
      </c>
      <c r="D96" s="957">
        <v>0.03</v>
      </c>
    </row>
    <row r="97" spans="1:4" x14ac:dyDescent="0.2">
      <c r="A97">
        <v>36</v>
      </c>
      <c r="B97" s="172">
        <f t="shared" si="0"/>
        <v>0.03</v>
      </c>
      <c r="C97" s="172">
        <f t="shared" si="1"/>
        <v>0.04</v>
      </c>
      <c r="D97" s="957">
        <v>0.03</v>
      </c>
    </row>
    <row r="98" spans="1:4" x14ac:dyDescent="0.2">
      <c r="A98">
        <v>37</v>
      </c>
      <c r="B98" s="172">
        <f t="shared" si="0"/>
        <v>0.03</v>
      </c>
      <c r="C98" s="172">
        <f t="shared" si="1"/>
        <v>0.04</v>
      </c>
      <c r="D98" s="957">
        <v>0.03</v>
      </c>
    </row>
    <row r="99" spans="1:4" x14ac:dyDescent="0.2">
      <c r="A99" s="128">
        <v>38</v>
      </c>
      <c r="B99" s="172">
        <f t="shared" si="0"/>
        <v>0.03</v>
      </c>
      <c r="C99" s="172">
        <f t="shared" si="1"/>
        <v>0.04</v>
      </c>
      <c r="D99" s="957">
        <v>0.03</v>
      </c>
    </row>
    <row r="100" spans="1:4" x14ac:dyDescent="0.2">
      <c r="A100" s="128">
        <v>39</v>
      </c>
      <c r="B100" s="172">
        <f t="shared" si="0"/>
        <v>0.03</v>
      </c>
      <c r="C100" s="172">
        <f t="shared" si="1"/>
        <v>0.04</v>
      </c>
      <c r="D100" s="957">
        <v>0.03</v>
      </c>
    </row>
    <row r="101" spans="1:4" x14ac:dyDescent="0.2">
      <c r="A101">
        <v>40</v>
      </c>
      <c r="B101" s="172">
        <f t="shared" si="0"/>
        <v>0.03</v>
      </c>
      <c r="C101" s="172">
        <f t="shared" si="1"/>
        <v>0.04</v>
      </c>
      <c r="D101" s="957">
        <v>0.03</v>
      </c>
    </row>
    <row r="102" spans="1:4" x14ac:dyDescent="0.2">
      <c r="A102">
        <v>41</v>
      </c>
      <c r="B102" s="172">
        <f t="shared" si="0"/>
        <v>0.03</v>
      </c>
      <c r="C102" s="172">
        <f t="shared" si="1"/>
        <v>0.04</v>
      </c>
      <c r="D102" s="957">
        <v>0.03</v>
      </c>
    </row>
    <row r="103" spans="1:4" x14ac:dyDescent="0.2">
      <c r="A103" s="128">
        <v>42</v>
      </c>
      <c r="B103" s="172">
        <f t="shared" si="0"/>
        <v>0.03</v>
      </c>
      <c r="C103" s="172">
        <f t="shared" si="1"/>
        <v>0.04</v>
      </c>
      <c r="D103" s="957">
        <v>0.03</v>
      </c>
    </row>
    <row r="104" spans="1:4" x14ac:dyDescent="0.2">
      <c r="A104" s="128">
        <v>43</v>
      </c>
      <c r="B104" s="172">
        <f t="shared" si="0"/>
        <v>0.03</v>
      </c>
      <c r="C104" s="172">
        <f t="shared" si="1"/>
        <v>0.04</v>
      </c>
      <c r="D104" s="957">
        <v>0.03</v>
      </c>
    </row>
    <row r="105" spans="1:4" x14ac:dyDescent="0.2">
      <c r="A105">
        <v>44</v>
      </c>
      <c r="B105" s="172">
        <f t="shared" si="0"/>
        <v>0.03</v>
      </c>
      <c r="C105" s="172">
        <f t="shared" si="1"/>
        <v>0.04</v>
      </c>
      <c r="D105" s="957">
        <v>0.03</v>
      </c>
    </row>
    <row r="106" spans="1:4" x14ac:dyDescent="0.2">
      <c r="A106">
        <v>45</v>
      </c>
      <c r="B106" s="172">
        <f t="shared" si="0"/>
        <v>0.03</v>
      </c>
      <c r="C106" s="172">
        <f t="shared" si="1"/>
        <v>0.04</v>
      </c>
      <c r="D106" s="957">
        <v>0.03</v>
      </c>
    </row>
    <row r="107" spans="1:4" x14ac:dyDescent="0.2">
      <c r="A107" s="128">
        <v>46</v>
      </c>
      <c r="B107" s="172">
        <f t="shared" si="0"/>
        <v>0.03</v>
      </c>
      <c r="C107" s="172">
        <f t="shared" si="1"/>
        <v>0.04</v>
      </c>
      <c r="D107" s="957">
        <v>0.03</v>
      </c>
    </row>
    <row r="108" spans="1:4" x14ac:dyDescent="0.2">
      <c r="A108" s="128">
        <v>47</v>
      </c>
      <c r="B108" s="172">
        <f t="shared" si="0"/>
        <v>0.03</v>
      </c>
      <c r="C108" s="172">
        <f t="shared" si="1"/>
        <v>0.04</v>
      </c>
      <c r="D108" s="957">
        <v>0.03</v>
      </c>
    </row>
    <row r="109" spans="1:4" x14ac:dyDescent="0.2">
      <c r="A109">
        <v>48</v>
      </c>
      <c r="B109" s="172">
        <f t="shared" si="0"/>
        <v>0.03</v>
      </c>
      <c r="C109" s="172">
        <f t="shared" si="1"/>
        <v>0.04</v>
      </c>
      <c r="D109" s="957">
        <v>0.03</v>
      </c>
    </row>
    <row r="110" spans="1:4" x14ac:dyDescent="0.2">
      <c r="A110">
        <v>49</v>
      </c>
      <c r="B110" s="172">
        <f t="shared" si="0"/>
        <v>0.03</v>
      </c>
      <c r="C110" s="172">
        <f t="shared" si="1"/>
        <v>0.04</v>
      </c>
      <c r="D110" s="957">
        <v>0.03</v>
      </c>
    </row>
    <row r="111" spans="1:4" x14ac:dyDescent="0.2">
      <c r="A111" s="128">
        <v>50</v>
      </c>
      <c r="B111" s="172">
        <f t="shared" si="0"/>
        <v>0.03</v>
      </c>
      <c r="C111" s="172">
        <f t="shared" si="1"/>
        <v>0.04</v>
      </c>
      <c r="D111" s="957">
        <v>0.03</v>
      </c>
    </row>
    <row r="112" spans="1:4" x14ac:dyDescent="0.2">
      <c r="A112" s="128">
        <v>51</v>
      </c>
      <c r="B112" s="172">
        <f t="shared" si="0"/>
        <v>0.03</v>
      </c>
      <c r="C112" s="172">
        <f t="shared" si="1"/>
        <v>0.04</v>
      </c>
      <c r="D112" s="957">
        <v>0.03</v>
      </c>
    </row>
    <row r="113" spans="1:4" x14ac:dyDescent="0.2">
      <c r="A113">
        <v>52</v>
      </c>
      <c r="B113" s="172">
        <f t="shared" si="0"/>
        <v>0.03</v>
      </c>
      <c r="C113" s="172">
        <f t="shared" si="1"/>
        <v>0.04</v>
      </c>
      <c r="D113" s="957">
        <v>0.03</v>
      </c>
    </row>
    <row r="114" spans="1:4" x14ac:dyDescent="0.2">
      <c r="A114">
        <v>53</v>
      </c>
      <c r="B114" s="172">
        <f t="shared" si="0"/>
        <v>0.03</v>
      </c>
      <c r="C114" s="172">
        <f t="shared" si="1"/>
        <v>0.04</v>
      </c>
      <c r="D114" s="957">
        <v>0.03</v>
      </c>
    </row>
    <row r="115" spans="1:4" x14ac:dyDescent="0.2">
      <c r="A115" s="128">
        <v>54</v>
      </c>
      <c r="B115" s="172">
        <f t="shared" si="0"/>
        <v>0.03</v>
      </c>
      <c r="C115" s="172">
        <f t="shared" si="1"/>
        <v>0.04</v>
      </c>
      <c r="D115" s="957">
        <v>0.03</v>
      </c>
    </row>
    <row r="116" spans="1:4" x14ac:dyDescent="0.2">
      <c r="A116" s="128">
        <v>55</v>
      </c>
      <c r="B116" s="172">
        <f t="shared" si="0"/>
        <v>0.03</v>
      </c>
      <c r="C116" s="172">
        <f t="shared" si="1"/>
        <v>0.04</v>
      </c>
      <c r="D116" s="957">
        <v>0.03</v>
      </c>
    </row>
    <row r="117" spans="1:4" x14ac:dyDescent="0.2">
      <c r="A117">
        <v>56</v>
      </c>
      <c r="B117" s="172">
        <f t="shared" si="0"/>
        <v>0.03</v>
      </c>
      <c r="C117" s="172">
        <f t="shared" si="1"/>
        <v>0.04</v>
      </c>
      <c r="D117" s="957">
        <v>0.03</v>
      </c>
    </row>
    <row r="118" spans="1:4" x14ac:dyDescent="0.2">
      <c r="A118">
        <v>57</v>
      </c>
      <c r="B118" s="172">
        <f t="shared" si="0"/>
        <v>0.03</v>
      </c>
      <c r="C118" s="172">
        <f t="shared" si="1"/>
        <v>0.04</v>
      </c>
      <c r="D118" s="957">
        <v>0.03</v>
      </c>
    </row>
    <row r="119" spans="1:4" x14ac:dyDescent="0.2">
      <c r="A119" s="128">
        <v>58</v>
      </c>
      <c r="B119" s="172">
        <f t="shared" si="0"/>
        <v>0.03</v>
      </c>
      <c r="C119" s="172">
        <f t="shared" si="1"/>
        <v>0.04</v>
      </c>
      <c r="D119" s="957">
        <v>0.03</v>
      </c>
    </row>
    <row r="120" spans="1:4" x14ac:dyDescent="0.2">
      <c r="A120" s="128">
        <v>59</v>
      </c>
      <c r="B120" s="172">
        <f t="shared" si="0"/>
        <v>0.03</v>
      </c>
      <c r="C120" s="172">
        <f t="shared" si="1"/>
        <v>0.04</v>
      </c>
      <c r="D120" s="957">
        <v>0.03</v>
      </c>
    </row>
    <row r="121" spans="1:4" x14ac:dyDescent="0.2">
      <c r="A121">
        <v>60</v>
      </c>
      <c r="B121" s="172">
        <f t="shared" si="0"/>
        <v>0.03</v>
      </c>
      <c r="C121" s="172">
        <f t="shared" si="1"/>
        <v>0.04</v>
      </c>
      <c r="D121" s="957">
        <v>0.03</v>
      </c>
    </row>
    <row r="122" spans="1:4" x14ac:dyDescent="0.2">
      <c r="A122">
        <v>61</v>
      </c>
      <c r="B122" s="172">
        <f t="shared" si="0"/>
        <v>0.03</v>
      </c>
      <c r="C122" s="172">
        <f t="shared" si="1"/>
        <v>0.04</v>
      </c>
      <c r="D122" s="957">
        <v>0.03</v>
      </c>
    </row>
    <row r="123" spans="1:4" x14ac:dyDescent="0.2">
      <c r="A123" s="128">
        <v>62</v>
      </c>
      <c r="B123" s="172">
        <f t="shared" si="0"/>
        <v>0.03</v>
      </c>
      <c r="C123" s="172">
        <f t="shared" si="1"/>
        <v>0.04</v>
      </c>
      <c r="D123" s="957">
        <v>0.03</v>
      </c>
    </row>
    <row r="124" spans="1:4" x14ac:dyDescent="0.2">
      <c r="A124" s="128">
        <v>63</v>
      </c>
      <c r="B124" s="172">
        <f t="shared" si="0"/>
        <v>0.03</v>
      </c>
      <c r="C124" s="172">
        <f t="shared" si="1"/>
        <v>0.04</v>
      </c>
      <c r="D124" s="957">
        <v>0.03</v>
      </c>
    </row>
    <row r="125" spans="1:4" x14ac:dyDescent="0.2">
      <c r="A125">
        <v>64</v>
      </c>
      <c r="B125" s="172">
        <f t="shared" si="0"/>
        <v>0.03</v>
      </c>
      <c r="C125" s="172">
        <f t="shared" si="1"/>
        <v>0.04</v>
      </c>
      <c r="D125" s="957">
        <v>0.03</v>
      </c>
    </row>
    <row r="126" spans="1:4" x14ac:dyDescent="0.2">
      <c r="A126">
        <v>65</v>
      </c>
      <c r="B126" s="172">
        <f t="shared" ref="B126:B160" si="2">B125</f>
        <v>0.03</v>
      </c>
      <c r="C126" s="172">
        <f t="shared" ref="C126:C160" si="3">C125</f>
        <v>0.04</v>
      </c>
      <c r="D126" s="957">
        <v>0.03</v>
      </c>
    </row>
    <row r="127" spans="1:4" x14ac:dyDescent="0.2">
      <c r="A127" s="128">
        <v>66</v>
      </c>
      <c r="B127" s="172">
        <f t="shared" si="2"/>
        <v>0.03</v>
      </c>
      <c r="C127" s="172">
        <f t="shared" si="3"/>
        <v>0.04</v>
      </c>
      <c r="D127" s="957">
        <v>0.03</v>
      </c>
    </row>
    <row r="128" spans="1:4" x14ac:dyDescent="0.2">
      <c r="A128" s="128">
        <v>67</v>
      </c>
      <c r="B128" s="172">
        <f t="shared" si="2"/>
        <v>0.03</v>
      </c>
      <c r="C128" s="172">
        <f t="shared" si="3"/>
        <v>0.04</v>
      </c>
      <c r="D128" s="957">
        <v>0.03</v>
      </c>
    </row>
    <row r="129" spans="1:4" x14ac:dyDescent="0.2">
      <c r="A129">
        <v>68</v>
      </c>
      <c r="B129" s="172">
        <f t="shared" si="2"/>
        <v>0.03</v>
      </c>
      <c r="C129" s="172">
        <f t="shared" si="3"/>
        <v>0.04</v>
      </c>
      <c r="D129" s="957">
        <v>0.03</v>
      </c>
    </row>
    <row r="130" spans="1:4" x14ac:dyDescent="0.2">
      <c r="A130">
        <v>69</v>
      </c>
      <c r="B130" s="172">
        <f t="shared" si="2"/>
        <v>0.03</v>
      </c>
      <c r="C130" s="172">
        <f t="shared" si="3"/>
        <v>0.04</v>
      </c>
      <c r="D130" s="957">
        <v>0.03</v>
      </c>
    </row>
    <row r="131" spans="1:4" x14ac:dyDescent="0.2">
      <c r="A131" s="128">
        <v>70</v>
      </c>
      <c r="B131" s="172">
        <f t="shared" si="2"/>
        <v>0.03</v>
      </c>
      <c r="C131" s="172">
        <f t="shared" si="3"/>
        <v>0.04</v>
      </c>
      <c r="D131" s="957">
        <v>0.03</v>
      </c>
    </row>
    <row r="132" spans="1:4" x14ac:dyDescent="0.2">
      <c r="A132" s="128">
        <v>71</v>
      </c>
      <c r="B132" s="172">
        <f t="shared" si="2"/>
        <v>0.03</v>
      </c>
      <c r="C132" s="172">
        <f t="shared" si="3"/>
        <v>0.04</v>
      </c>
      <c r="D132" s="957">
        <v>0.03</v>
      </c>
    </row>
    <row r="133" spans="1:4" x14ac:dyDescent="0.2">
      <c r="A133">
        <v>72</v>
      </c>
      <c r="B133" s="172">
        <f t="shared" si="2"/>
        <v>0.03</v>
      </c>
      <c r="C133" s="172">
        <f t="shared" si="3"/>
        <v>0.04</v>
      </c>
      <c r="D133" s="957">
        <v>0.03</v>
      </c>
    </row>
    <row r="134" spans="1:4" x14ac:dyDescent="0.2">
      <c r="A134">
        <v>73</v>
      </c>
      <c r="B134" s="172">
        <f t="shared" si="2"/>
        <v>0.03</v>
      </c>
      <c r="C134" s="172">
        <f t="shared" si="3"/>
        <v>0.04</v>
      </c>
      <c r="D134" s="957">
        <v>0.03</v>
      </c>
    </row>
    <row r="135" spans="1:4" x14ac:dyDescent="0.2">
      <c r="A135" s="128">
        <v>74</v>
      </c>
      <c r="B135" s="172">
        <f t="shared" si="2"/>
        <v>0.03</v>
      </c>
      <c r="C135" s="172">
        <f t="shared" si="3"/>
        <v>0.04</v>
      </c>
      <c r="D135" s="957">
        <v>0.03</v>
      </c>
    </row>
    <row r="136" spans="1:4" x14ac:dyDescent="0.2">
      <c r="A136" s="128">
        <v>75</v>
      </c>
      <c r="B136" s="172">
        <f t="shared" si="2"/>
        <v>0.03</v>
      </c>
      <c r="C136" s="172">
        <f t="shared" si="3"/>
        <v>0.04</v>
      </c>
      <c r="D136" s="957">
        <v>0.03</v>
      </c>
    </row>
    <row r="137" spans="1:4" x14ac:dyDescent="0.2">
      <c r="A137">
        <v>76</v>
      </c>
      <c r="B137" s="172">
        <f t="shared" si="2"/>
        <v>0.03</v>
      </c>
      <c r="C137" s="172">
        <f t="shared" si="3"/>
        <v>0.04</v>
      </c>
      <c r="D137" s="957">
        <v>2.5000000000000001E-2</v>
      </c>
    </row>
    <row r="138" spans="1:4" x14ac:dyDescent="0.2">
      <c r="A138">
        <v>77</v>
      </c>
      <c r="B138" s="172">
        <f t="shared" si="2"/>
        <v>0.03</v>
      </c>
      <c r="C138" s="172">
        <f t="shared" si="3"/>
        <v>0.04</v>
      </c>
      <c r="D138" s="957">
        <v>2.5000000000000001E-2</v>
      </c>
    </row>
    <row r="139" spans="1:4" x14ac:dyDescent="0.2">
      <c r="A139" s="128">
        <v>78</v>
      </c>
      <c r="B139" s="172">
        <f t="shared" si="2"/>
        <v>0.03</v>
      </c>
      <c r="C139" s="172">
        <f t="shared" si="3"/>
        <v>0.04</v>
      </c>
      <c r="D139" s="957">
        <v>2.5000000000000001E-2</v>
      </c>
    </row>
    <row r="140" spans="1:4" x14ac:dyDescent="0.2">
      <c r="A140" s="128">
        <v>79</v>
      </c>
      <c r="B140" s="172">
        <f t="shared" si="2"/>
        <v>0.03</v>
      </c>
      <c r="C140" s="172">
        <f t="shared" si="3"/>
        <v>0.04</v>
      </c>
      <c r="D140" s="957">
        <v>2.5000000000000001E-2</v>
      </c>
    </row>
    <row r="141" spans="1:4" x14ac:dyDescent="0.2">
      <c r="A141">
        <v>80</v>
      </c>
      <c r="B141" s="172">
        <f t="shared" si="2"/>
        <v>0.03</v>
      </c>
      <c r="C141" s="172">
        <f t="shared" si="3"/>
        <v>0.04</v>
      </c>
      <c r="D141" s="957">
        <v>2.5000000000000001E-2</v>
      </c>
    </row>
    <row r="142" spans="1:4" x14ac:dyDescent="0.2">
      <c r="A142">
        <v>81</v>
      </c>
      <c r="B142" s="172">
        <f t="shared" si="2"/>
        <v>0.03</v>
      </c>
      <c r="C142" s="172">
        <f t="shared" si="3"/>
        <v>0.04</v>
      </c>
      <c r="D142" s="957">
        <v>2.5000000000000001E-2</v>
      </c>
    </row>
    <row r="143" spans="1:4" x14ac:dyDescent="0.2">
      <c r="A143" s="128">
        <v>82</v>
      </c>
      <c r="B143" s="172">
        <f t="shared" si="2"/>
        <v>0.03</v>
      </c>
      <c r="C143" s="172">
        <f t="shared" si="3"/>
        <v>0.04</v>
      </c>
      <c r="D143" s="957">
        <v>2.5000000000000001E-2</v>
      </c>
    </row>
    <row r="144" spans="1:4" x14ac:dyDescent="0.2">
      <c r="A144" s="128">
        <v>83</v>
      </c>
      <c r="B144" s="172">
        <f t="shared" si="2"/>
        <v>0.03</v>
      </c>
      <c r="C144" s="172">
        <f t="shared" si="3"/>
        <v>0.04</v>
      </c>
      <c r="D144" s="957">
        <v>2.5000000000000001E-2</v>
      </c>
    </row>
    <row r="145" spans="1:4" x14ac:dyDescent="0.2">
      <c r="A145">
        <v>84</v>
      </c>
      <c r="B145" s="172">
        <f t="shared" si="2"/>
        <v>0.03</v>
      </c>
      <c r="C145" s="172">
        <f t="shared" si="3"/>
        <v>0.04</v>
      </c>
      <c r="D145" s="957">
        <v>2.5000000000000001E-2</v>
      </c>
    </row>
    <row r="146" spans="1:4" x14ac:dyDescent="0.2">
      <c r="A146">
        <v>85</v>
      </c>
      <c r="B146" s="172">
        <f t="shared" si="2"/>
        <v>0.03</v>
      </c>
      <c r="C146" s="172">
        <f t="shared" si="3"/>
        <v>0.04</v>
      </c>
      <c r="D146" s="957">
        <v>2.5000000000000001E-2</v>
      </c>
    </row>
    <row r="147" spans="1:4" x14ac:dyDescent="0.2">
      <c r="A147" s="128">
        <v>86</v>
      </c>
      <c r="B147" s="172">
        <f t="shared" si="2"/>
        <v>0.03</v>
      </c>
      <c r="C147" s="172">
        <f t="shared" si="3"/>
        <v>0.04</v>
      </c>
      <c r="D147" s="957">
        <v>2.5000000000000001E-2</v>
      </c>
    </row>
    <row r="148" spans="1:4" x14ac:dyDescent="0.2">
      <c r="A148" s="128">
        <v>87</v>
      </c>
      <c r="B148" s="172">
        <f t="shared" si="2"/>
        <v>0.03</v>
      </c>
      <c r="C148" s="172">
        <f t="shared" si="3"/>
        <v>0.04</v>
      </c>
      <c r="D148" s="957">
        <v>2.5000000000000001E-2</v>
      </c>
    </row>
    <row r="149" spans="1:4" x14ac:dyDescent="0.2">
      <c r="A149">
        <v>88</v>
      </c>
      <c r="B149" s="172">
        <f t="shared" si="2"/>
        <v>0.03</v>
      </c>
      <c r="C149" s="172">
        <f t="shared" si="3"/>
        <v>0.04</v>
      </c>
      <c r="D149" s="957">
        <v>2.5000000000000001E-2</v>
      </c>
    </row>
    <row r="150" spans="1:4" x14ac:dyDescent="0.2">
      <c r="A150">
        <v>89</v>
      </c>
      <c r="B150" s="172">
        <f t="shared" si="2"/>
        <v>0.03</v>
      </c>
      <c r="C150" s="172">
        <f t="shared" si="3"/>
        <v>0.04</v>
      </c>
      <c r="D150" s="957">
        <v>2.5000000000000001E-2</v>
      </c>
    </row>
    <row r="151" spans="1:4" x14ac:dyDescent="0.2">
      <c r="A151" s="128">
        <v>90</v>
      </c>
      <c r="B151" s="172">
        <f t="shared" si="2"/>
        <v>0.03</v>
      </c>
      <c r="C151" s="172">
        <f t="shared" si="3"/>
        <v>0.04</v>
      </c>
      <c r="D151" s="957">
        <v>2.5000000000000001E-2</v>
      </c>
    </row>
    <row r="152" spans="1:4" x14ac:dyDescent="0.2">
      <c r="A152" s="128">
        <v>91</v>
      </c>
      <c r="B152" s="172">
        <f t="shared" si="2"/>
        <v>0.03</v>
      </c>
      <c r="C152" s="172">
        <f t="shared" si="3"/>
        <v>0.04</v>
      </c>
      <c r="D152" s="957">
        <v>2.5000000000000001E-2</v>
      </c>
    </row>
    <row r="153" spans="1:4" x14ac:dyDescent="0.2">
      <c r="A153">
        <v>92</v>
      </c>
      <c r="B153" s="172">
        <f t="shared" si="2"/>
        <v>0.03</v>
      </c>
      <c r="C153" s="172">
        <f t="shared" si="3"/>
        <v>0.04</v>
      </c>
      <c r="D153" s="957">
        <v>2.5000000000000001E-2</v>
      </c>
    </row>
    <row r="154" spans="1:4" x14ac:dyDescent="0.2">
      <c r="A154">
        <v>93</v>
      </c>
      <c r="B154" s="172">
        <f t="shared" si="2"/>
        <v>0.03</v>
      </c>
      <c r="C154" s="172">
        <f t="shared" si="3"/>
        <v>0.04</v>
      </c>
      <c r="D154" s="957">
        <v>2.5000000000000001E-2</v>
      </c>
    </row>
    <row r="155" spans="1:4" x14ac:dyDescent="0.2">
      <c r="A155" s="128">
        <v>94</v>
      </c>
      <c r="B155" s="172">
        <f t="shared" si="2"/>
        <v>0.03</v>
      </c>
      <c r="C155" s="172">
        <f t="shared" si="3"/>
        <v>0.04</v>
      </c>
      <c r="D155" s="957">
        <v>2.5000000000000001E-2</v>
      </c>
    </row>
    <row r="156" spans="1:4" x14ac:dyDescent="0.2">
      <c r="A156" s="128">
        <v>95</v>
      </c>
      <c r="B156" s="172">
        <f t="shared" si="2"/>
        <v>0.03</v>
      </c>
      <c r="C156" s="172">
        <f t="shared" si="3"/>
        <v>0.04</v>
      </c>
      <c r="D156" s="957">
        <v>2.5000000000000001E-2</v>
      </c>
    </row>
    <row r="157" spans="1:4" x14ac:dyDescent="0.2">
      <c r="A157">
        <v>96</v>
      </c>
      <c r="B157" s="172">
        <f t="shared" si="2"/>
        <v>0.03</v>
      </c>
      <c r="C157" s="172">
        <f t="shared" si="3"/>
        <v>0.04</v>
      </c>
      <c r="D157" s="957">
        <v>2.5000000000000001E-2</v>
      </c>
    </row>
    <row r="158" spans="1:4" x14ac:dyDescent="0.2">
      <c r="A158">
        <v>97</v>
      </c>
      <c r="B158" s="172">
        <f t="shared" si="2"/>
        <v>0.03</v>
      </c>
      <c r="C158" s="172">
        <f t="shared" si="3"/>
        <v>0.04</v>
      </c>
      <c r="D158" s="957">
        <v>2.5000000000000001E-2</v>
      </c>
    </row>
    <row r="159" spans="1:4" x14ac:dyDescent="0.2">
      <c r="A159" s="128">
        <v>98</v>
      </c>
      <c r="B159" s="172">
        <f t="shared" si="2"/>
        <v>0.03</v>
      </c>
      <c r="C159" s="172">
        <f t="shared" si="3"/>
        <v>0.04</v>
      </c>
      <c r="D159" s="957">
        <v>2.5000000000000001E-2</v>
      </c>
    </row>
    <row r="160" spans="1:4" x14ac:dyDescent="0.2">
      <c r="A160" s="128">
        <v>99</v>
      </c>
      <c r="B160" s="172">
        <f t="shared" si="2"/>
        <v>0.03</v>
      </c>
      <c r="C160" s="172">
        <f t="shared" si="3"/>
        <v>0.04</v>
      </c>
      <c r="D160" s="957">
        <v>2.5000000000000001E-2</v>
      </c>
    </row>
  </sheetData>
  <sheetProtection algorithmName="SHA-512" hashValue="JsVlSuMzwObfnjcBIs3E+iAEcgqGbKJ8er+FKnjn4sT0gUgzteFUAqRdFP66lhtdXgPzZNmSFp/UTpnRDUomhw==" saltValue="9tLEs+UiWu/17y71xpzfDg==" spinCount="100000" sheet="1" objects="1" scenarios="1"/>
  <mergeCells count="1">
    <mergeCell ref="U1:W1"/>
  </mergeCells>
  <dataValidations count="1">
    <dataValidation type="list" allowBlank="1" showInputMessage="1" showErrorMessage="1" sqref="J4">
      <formula1>"YES, NO"</formula1>
    </dataValidation>
  </dataValidations>
  <pageMargins left="0.7" right="0.7" top="0.75" bottom="0.75" header="0.3" footer="0.3"/>
  <pageSetup paperSize="9" orientation="portrait" horizontalDpi="90" verticalDpi="9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defaultRowHeight="12.75" x14ac:dyDescent="0.2"/>
  <cols>
    <col min="1" max="1" width="81.375" customWidth="1"/>
  </cols>
  <sheetData>
    <row r="1" spans="1:1" ht="15" x14ac:dyDescent="0.2">
      <c r="A1" s="53" t="s">
        <v>47</v>
      </c>
    </row>
    <row r="2" spans="1:1" ht="15" x14ac:dyDescent="0.2">
      <c r="A2" s="54"/>
    </row>
    <row r="3" spans="1:1" ht="30" x14ac:dyDescent="0.2">
      <c r="A3" s="55" t="s">
        <v>471</v>
      </c>
    </row>
    <row r="4" spans="1:1" ht="15" x14ac:dyDescent="0.2">
      <c r="A4" s="54"/>
    </row>
    <row r="5" spans="1:1" ht="45" x14ac:dyDescent="0.2">
      <c r="A5" s="55" t="s">
        <v>470</v>
      </c>
    </row>
    <row r="6" spans="1:1" x14ac:dyDescent="0.2">
      <c r="A6" s="57"/>
    </row>
    <row r="7" spans="1:1" ht="30" x14ac:dyDescent="0.2">
      <c r="A7" s="56" t="s">
        <v>72</v>
      </c>
    </row>
  </sheetData>
  <sheetProtection password="C395" sheet="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11</vt:i4>
      </vt:variant>
    </vt:vector>
  </HeadingPairs>
  <TitlesOfParts>
    <vt:vector size="21" baseType="lpstr">
      <vt:lpstr>README and Further Details</vt:lpstr>
      <vt:lpstr>Data Entry</vt:lpstr>
      <vt:lpstr>Cashflow</vt:lpstr>
      <vt:lpstr>Results</vt:lpstr>
      <vt:lpstr>Cost Data</vt:lpstr>
      <vt:lpstr>Income Data</vt:lpstr>
      <vt:lpstr>Income Foregone and BPS data</vt:lpstr>
      <vt:lpstr>Lookup Tables</vt:lpstr>
      <vt:lpstr>Disclaimer</vt:lpstr>
      <vt:lpstr>Version Control</vt:lpstr>
      <vt:lpstr>England</vt:lpstr>
      <vt:lpstr>Northern_Ireland</vt:lpstr>
      <vt:lpstr>Scotland</vt:lpstr>
      <vt:lpstr>Select_Farm_Type</vt:lpstr>
      <vt:lpstr>VERSION_1</vt:lpstr>
      <vt:lpstr>VERSION_1_COSTS</vt:lpstr>
      <vt:lpstr>VERSION_2</vt:lpstr>
      <vt:lpstr>VERSION_2_COSTS</vt:lpstr>
      <vt:lpstr>VERSION_3</vt:lpstr>
      <vt:lpstr>VERSION_3_COSTS</vt:lpstr>
      <vt:lpstr>Wales</vt:lpstr>
    </vt:vector>
  </TitlesOfParts>
  <Company>Forestry Commission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Authenticated User</dc:creator>
  <cp:lastModifiedBy>U322112</cp:lastModifiedBy>
  <cp:lastPrinted>2013-07-26T13:54:53Z</cp:lastPrinted>
  <dcterms:created xsi:type="dcterms:W3CDTF">2013-07-02T11:45:37Z</dcterms:created>
  <dcterms:modified xsi:type="dcterms:W3CDTF">2022-11-25T11:14:41Z</dcterms:modified>
</cp:coreProperties>
</file>