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Users\u322112\Downloads\Additionality\"/>
    </mc:Choice>
  </mc:AlternateContent>
  <xr:revisionPtr revIDLastSave="0" documentId="13_ncr:1_{6DA22F25-C570-4112-9BEA-221D0E487CEF}" xr6:coauthVersionLast="47" xr6:coauthVersionMax="47" xr10:uidLastSave="{00000000-0000-0000-0000-000000000000}"/>
  <workbookProtection workbookAlgorithmName="SHA-512" workbookHashValue="u+LqxVP5H+VAEKDx+gDvPO1nLCXEnGbmtrSDTy8gDIQwpKwfMkn2UzPwjuG6iU3CD2XW17wO5YLO5Ej10Ng0Ow==" workbookSaltValue="vCsnn+sstsQmFcLlrnE0fw==" workbookSpinCount="100000" lockStructure="1"/>
  <bookViews>
    <workbookView xWindow="28680" yWindow="-120" windowWidth="20730" windowHeight="11160" xr2:uid="{E5722C12-E33E-4A94-A201-51A12829EE63}"/>
  </bookViews>
  <sheets>
    <sheet name="Introduction" sheetId="5" r:id="rId1"/>
    <sheet name="Data Entry" sheetId="10" r:id="rId2"/>
    <sheet name="Cashflow" sheetId="1" r:id="rId3"/>
    <sheet name="Results" sheetId="13" r:id="rId4"/>
    <sheet name="FAQs" sheetId="14" r:id="rId5"/>
    <sheet name="Income Data" sheetId="9" r:id="rId6"/>
    <sheet name="Cost Data" sheetId="8" r:id="rId7"/>
    <sheet name="Income Forgone and BPS data" sheetId="11" r:id="rId8"/>
    <sheet name="Lookup Tables" sheetId="12" state="hidden" r:id="rId9"/>
    <sheet name="Disclaimer" sheetId="6" r:id="rId10"/>
    <sheet name="Version Control" sheetId="7" r:id="rId11"/>
  </sheets>
  <definedNames>
    <definedName name="England">'Lookup Tables'!$B$3:$B$12</definedName>
    <definedName name="Northern_Ireland">'Lookup Tables'!$E$3:$E$8</definedName>
    <definedName name="Scotland">'Lookup Tables'!$C$3:$C$14</definedName>
    <definedName name="Select_Farm_Type">'Lookup Tables'!$A$3</definedName>
    <definedName name="VERSION_1">'Data Entry'!$A$118:$R$128</definedName>
    <definedName name="VERSION_1_COSTS">'Data Entry'!$M$117:$R$128</definedName>
    <definedName name="VERSION_2">'Data Entry'!$A$133:$R$144</definedName>
    <definedName name="VERSION_2_COSTS">'Data Entry'!$M$132:$R$144</definedName>
    <definedName name="VERSION_3">'Data Entry'!$A$150:$R$164</definedName>
    <definedName name="VERSION_3_COSTS">'Data Entry'!$M$149:$R$164</definedName>
    <definedName name="Wales">'Lookup Tables'!$D$3:$D$13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9" i="1" l="1"/>
  <c r="Z89" i="1"/>
  <c r="AB89" i="1"/>
  <c r="AP89" i="1"/>
  <c r="BF89" i="1"/>
  <c r="BH89" i="1"/>
  <c r="BV89" i="1"/>
  <c r="CL89" i="1"/>
  <c r="CN89" i="1"/>
  <c r="AH52" i="1"/>
  <c r="O156" i="10"/>
  <c r="O155" i="10"/>
  <c r="O154" i="10"/>
  <c r="O153" i="10"/>
  <c r="O152" i="10"/>
  <c r="O151" i="10"/>
  <c r="O135" i="10"/>
  <c r="O136" i="10"/>
  <c r="O134" i="10"/>
  <c r="O121" i="10"/>
  <c r="AJ52" i="1"/>
  <c r="AL52" i="1"/>
  <c r="AM52" i="1"/>
  <c r="CY49" i="1"/>
  <c r="G49" i="1"/>
  <c r="H49" i="1"/>
  <c r="I49" i="1"/>
  <c r="J49" i="1"/>
  <c r="K49" i="1"/>
  <c r="L49" i="1"/>
  <c r="M49" i="1"/>
  <c r="N49" i="1"/>
  <c r="O49" i="1"/>
  <c r="P49" i="1"/>
  <c r="Q49" i="1"/>
  <c r="R49" i="1"/>
  <c r="S49" i="1"/>
  <c r="T49" i="1"/>
  <c r="U49" i="1"/>
  <c r="V49" i="1"/>
  <c r="W49" i="1"/>
  <c r="X49" i="1"/>
  <c r="Y49" i="1"/>
  <c r="Z49" i="1"/>
  <c r="AA49" i="1"/>
  <c r="AB49" i="1"/>
  <c r="AC49" i="1"/>
  <c r="AD49" i="1"/>
  <c r="AE49" i="1"/>
  <c r="AF49" i="1"/>
  <c r="AG49" i="1"/>
  <c r="AH49" i="1"/>
  <c r="AI49" i="1"/>
  <c r="AJ49" i="1"/>
  <c r="AK49" i="1"/>
  <c r="AL49" i="1"/>
  <c r="AM49" i="1"/>
  <c r="AN49" i="1"/>
  <c r="AO49" i="1"/>
  <c r="AP49" i="1"/>
  <c r="AQ49" i="1"/>
  <c r="AR49" i="1"/>
  <c r="AS49" i="1"/>
  <c r="AT49" i="1"/>
  <c r="AU49" i="1"/>
  <c r="AV49" i="1"/>
  <c r="AW49" i="1"/>
  <c r="AX49" i="1"/>
  <c r="AY49" i="1"/>
  <c r="AZ49" i="1"/>
  <c r="BA49" i="1"/>
  <c r="BB49" i="1"/>
  <c r="BC49" i="1"/>
  <c r="BD49" i="1"/>
  <c r="BE49" i="1"/>
  <c r="BF49" i="1"/>
  <c r="BG49" i="1"/>
  <c r="BH49" i="1"/>
  <c r="BI49" i="1"/>
  <c r="BJ49" i="1"/>
  <c r="BK49" i="1"/>
  <c r="BL49" i="1"/>
  <c r="BM49" i="1"/>
  <c r="BN49" i="1"/>
  <c r="BO49" i="1"/>
  <c r="BP49" i="1"/>
  <c r="BQ49" i="1"/>
  <c r="BR49" i="1"/>
  <c r="BS49" i="1"/>
  <c r="BT49" i="1"/>
  <c r="BU49" i="1"/>
  <c r="BV49" i="1"/>
  <c r="BW49" i="1"/>
  <c r="BX49" i="1"/>
  <c r="BY49" i="1"/>
  <c r="BZ49" i="1"/>
  <c r="CA49" i="1"/>
  <c r="CB49" i="1"/>
  <c r="CC49" i="1"/>
  <c r="CD49" i="1"/>
  <c r="CE49" i="1"/>
  <c r="CF49" i="1"/>
  <c r="CG49" i="1"/>
  <c r="CH49" i="1"/>
  <c r="CI49" i="1"/>
  <c r="CJ49" i="1"/>
  <c r="CK49" i="1"/>
  <c r="CL49" i="1"/>
  <c r="CM49" i="1"/>
  <c r="CN49" i="1"/>
  <c r="CO49" i="1"/>
  <c r="CP49" i="1"/>
  <c r="CQ49" i="1"/>
  <c r="CR49" i="1"/>
  <c r="CS49" i="1"/>
  <c r="CT49" i="1"/>
  <c r="CU49" i="1"/>
  <c r="CV49" i="1"/>
  <c r="CW49" i="1"/>
  <c r="CX49" i="1"/>
  <c r="F49" i="1"/>
  <c r="E49" i="1"/>
  <c r="D49" i="1"/>
  <c r="B49" i="1"/>
  <c r="B56" i="1"/>
  <c r="A88" i="1" s="1"/>
  <c r="B55" i="1"/>
  <c r="E57" i="1"/>
  <c r="E89" i="1" s="1"/>
  <c r="F57" i="1"/>
  <c r="F89" i="1" s="1"/>
  <c r="G57" i="1"/>
  <c r="G89" i="1" s="1"/>
  <c r="H57" i="1"/>
  <c r="H89" i="1" s="1"/>
  <c r="I57" i="1"/>
  <c r="I89" i="1" s="1"/>
  <c r="J57" i="1"/>
  <c r="K57" i="1"/>
  <c r="K89" i="1" s="1"/>
  <c r="L57" i="1"/>
  <c r="L89" i="1" s="1"/>
  <c r="M57" i="1"/>
  <c r="M89" i="1" s="1"/>
  <c r="N57" i="1"/>
  <c r="N89" i="1" s="1"/>
  <c r="O57" i="1"/>
  <c r="O89" i="1" s="1"/>
  <c r="P57" i="1"/>
  <c r="P89" i="1" s="1"/>
  <c r="Q57" i="1"/>
  <c r="Q89" i="1" s="1"/>
  <c r="R57" i="1"/>
  <c r="R89" i="1" s="1"/>
  <c r="S57" i="1"/>
  <c r="S89" i="1" s="1"/>
  <c r="T57" i="1"/>
  <c r="T89" i="1" s="1"/>
  <c r="U57" i="1"/>
  <c r="U89" i="1" s="1"/>
  <c r="V57" i="1"/>
  <c r="V89" i="1" s="1"/>
  <c r="W57" i="1"/>
  <c r="W89" i="1" s="1"/>
  <c r="X57" i="1"/>
  <c r="X89" i="1" s="1"/>
  <c r="Y57" i="1"/>
  <c r="Y89" i="1" s="1"/>
  <c r="Z57" i="1"/>
  <c r="AA57" i="1"/>
  <c r="AA89" i="1" s="1"/>
  <c r="AB57" i="1"/>
  <c r="AC57" i="1"/>
  <c r="AC89" i="1" s="1"/>
  <c r="AD57" i="1"/>
  <c r="AD89" i="1" s="1"/>
  <c r="AE57" i="1"/>
  <c r="AE89" i="1" s="1"/>
  <c r="AF57" i="1"/>
  <c r="AF89" i="1" s="1"/>
  <c r="AG57" i="1"/>
  <c r="AG89" i="1" s="1"/>
  <c r="AH57" i="1"/>
  <c r="AH89" i="1" s="1"/>
  <c r="AI57" i="1"/>
  <c r="AI89" i="1" s="1"/>
  <c r="AJ57" i="1"/>
  <c r="AJ89" i="1" s="1"/>
  <c r="AK57" i="1"/>
  <c r="AK89" i="1" s="1"/>
  <c r="AL57" i="1"/>
  <c r="AL89" i="1" s="1"/>
  <c r="AM57" i="1"/>
  <c r="AM89" i="1" s="1"/>
  <c r="AN57" i="1"/>
  <c r="AN89" i="1" s="1"/>
  <c r="AO57" i="1"/>
  <c r="AO89" i="1" s="1"/>
  <c r="AP57" i="1"/>
  <c r="AQ57" i="1"/>
  <c r="AQ89" i="1" s="1"/>
  <c r="AR57" i="1"/>
  <c r="AR89" i="1" s="1"/>
  <c r="AS57" i="1"/>
  <c r="AS89" i="1" s="1"/>
  <c r="AT57" i="1"/>
  <c r="AT89" i="1" s="1"/>
  <c r="AU57" i="1"/>
  <c r="AU89" i="1" s="1"/>
  <c r="AV57" i="1"/>
  <c r="AV89" i="1" s="1"/>
  <c r="AW57" i="1"/>
  <c r="AW89" i="1" s="1"/>
  <c r="AX57" i="1"/>
  <c r="AX89" i="1" s="1"/>
  <c r="AY57" i="1"/>
  <c r="AY89" i="1" s="1"/>
  <c r="AZ57" i="1"/>
  <c r="AZ89" i="1" s="1"/>
  <c r="BA57" i="1"/>
  <c r="BA89" i="1" s="1"/>
  <c r="BB57" i="1"/>
  <c r="BB89" i="1" s="1"/>
  <c r="BC57" i="1"/>
  <c r="BC89" i="1" s="1"/>
  <c r="BD57" i="1"/>
  <c r="BD89" i="1" s="1"/>
  <c r="BE57" i="1"/>
  <c r="BE89" i="1" s="1"/>
  <c r="BF57" i="1"/>
  <c r="BG57" i="1"/>
  <c r="BG89" i="1" s="1"/>
  <c r="BH57" i="1"/>
  <c r="BI57" i="1"/>
  <c r="BI89" i="1" s="1"/>
  <c r="BJ57" i="1"/>
  <c r="BJ89" i="1" s="1"/>
  <c r="BK57" i="1"/>
  <c r="BK89" i="1" s="1"/>
  <c r="BL57" i="1"/>
  <c r="BL89" i="1" s="1"/>
  <c r="BM57" i="1"/>
  <c r="BM89" i="1" s="1"/>
  <c r="BN57" i="1"/>
  <c r="BN89" i="1" s="1"/>
  <c r="BO57" i="1"/>
  <c r="BO89" i="1" s="1"/>
  <c r="BP57" i="1"/>
  <c r="BP89" i="1" s="1"/>
  <c r="BQ57" i="1"/>
  <c r="BQ89" i="1" s="1"/>
  <c r="BR57" i="1"/>
  <c r="BR89" i="1" s="1"/>
  <c r="BS57" i="1"/>
  <c r="BS89" i="1" s="1"/>
  <c r="BT57" i="1"/>
  <c r="BT89" i="1" s="1"/>
  <c r="BU57" i="1"/>
  <c r="BU89" i="1" s="1"/>
  <c r="BV57" i="1"/>
  <c r="BW57" i="1"/>
  <c r="BW89" i="1" s="1"/>
  <c r="BX57" i="1"/>
  <c r="BX89" i="1" s="1"/>
  <c r="BY57" i="1"/>
  <c r="BY89" i="1" s="1"/>
  <c r="BZ57" i="1"/>
  <c r="BZ89" i="1" s="1"/>
  <c r="CA57" i="1"/>
  <c r="CA89" i="1" s="1"/>
  <c r="CB57" i="1"/>
  <c r="CB89" i="1" s="1"/>
  <c r="CC57" i="1"/>
  <c r="CC89" i="1" s="1"/>
  <c r="CD57" i="1"/>
  <c r="CD89" i="1" s="1"/>
  <c r="CE57" i="1"/>
  <c r="CE89" i="1" s="1"/>
  <c r="CF57" i="1"/>
  <c r="CF89" i="1" s="1"/>
  <c r="CG57" i="1"/>
  <c r="CG89" i="1" s="1"/>
  <c r="CH57" i="1"/>
  <c r="CH89" i="1" s="1"/>
  <c r="CI57" i="1"/>
  <c r="CI89" i="1" s="1"/>
  <c r="CJ57" i="1"/>
  <c r="CJ89" i="1" s="1"/>
  <c r="CK57" i="1"/>
  <c r="CK89" i="1" s="1"/>
  <c r="CL57" i="1"/>
  <c r="CM57" i="1"/>
  <c r="CM89" i="1" s="1"/>
  <c r="CN57" i="1"/>
  <c r="CO57" i="1"/>
  <c r="CO89" i="1" s="1"/>
  <c r="CP57" i="1"/>
  <c r="CP89" i="1" s="1"/>
  <c r="CQ57" i="1"/>
  <c r="CQ89" i="1" s="1"/>
  <c r="CR57" i="1"/>
  <c r="CR89" i="1" s="1"/>
  <c r="CS57" i="1"/>
  <c r="CS89" i="1" s="1"/>
  <c r="CT57" i="1"/>
  <c r="CT89" i="1" s="1"/>
  <c r="CU57" i="1"/>
  <c r="CU89" i="1" s="1"/>
  <c r="CV57" i="1"/>
  <c r="CV89" i="1" s="1"/>
  <c r="CW57" i="1"/>
  <c r="CW89" i="1" s="1"/>
  <c r="CX57" i="1"/>
  <c r="CX89" i="1" s="1"/>
  <c r="CY57" i="1"/>
  <c r="CY89" i="1" s="1"/>
  <c r="D57" i="1"/>
  <c r="D89" i="1" s="1"/>
  <c r="T56" i="1"/>
  <c r="T88" i="1" s="1"/>
  <c r="U56" i="1"/>
  <c r="U88" i="1" s="1"/>
  <c r="V56" i="1"/>
  <c r="V88" i="1" s="1"/>
  <c r="W56" i="1"/>
  <c r="W88" i="1" s="1"/>
  <c r="X56" i="1"/>
  <c r="X88" i="1" s="1"/>
  <c r="Y56" i="1"/>
  <c r="Y88" i="1" s="1"/>
  <c r="Z56" i="1"/>
  <c r="Z88" i="1" s="1"/>
  <c r="AA56" i="1"/>
  <c r="AA88" i="1" s="1"/>
  <c r="AB56" i="1"/>
  <c r="AB88" i="1" s="1"/>
  <c r="AC56" i="1"/>
  <c r="AC88" i="1" s="1"/>
  <c r="AD56" i="1"/>
  <c r="AD88" i="1" s="1"/>
  <c r="AE56" i="1"/>
  <c r="AE88" i="1" s="1"/>
  <c r="AF56" i="1"/>
  <c r="AF88" i="1" s="1"/>
  <c r="AG56" i="1"/>
  <c r="AG88" i="1" s="1"/>
  <c r="AH56" i="1"/>
  <c r="AH88" i="1" s="1"/>
  <c r="AI56" i="1"/>
  <c r="AI88" i="1" s="1"/>
  <c r="AJ56" i="1"/>
  <c r="AJ88" i="1" s="1"/>
  <c r="AK56" i="1"/>
  <c r="AK88" i="1" s="1"/>
  <c r="AL56" i="1"/>
  <c r="AL88" i="1" s="1"/>
  <c r="AM56" i="1"/>
  <c r="AM88" i="1" s="1"/>
  <c r="AN56" i="1"/>
  <c r="AN88" i="1" s="1"/>
  <c r="AO56" i="1"/>
  <c r="AO88" i="1" s="1"/>
  <c r="AP56" i="1"/>
  <c r="AP88" i="1" s="1"/>
  <c r="AQ56" i="1"/>
  <c r="AQ88" i="1" s="1"/>
  <c r="AR56" i="1"/>
  <c r="AR88" i="1" s="1"/>
  <c r="AS56" i="1"/>
  <c r="AS88" i="1" s="1"/>
  <c r="AT56" i="1"/>
  <c r="AT88" i="1" s="1"/>
  <c r="AU56" i="1"/>
  <c r="AU88" i="1" s="1"/>
  <c r="AV56" i="1"/>
  <c r="AV88" i="1" s="1"/>
  <c r="AW56" i="1"/>
  <c r="AW88" i="1" s="1"/>
  <c r="AX56" i="1"/>
  <c r="AX88" i="1" s="1"/>
  <c r="AY56" i="1"/>
  <c r="AY88" i="1" s="1"/>
  <c r="AZ56" i="1"/>
  <c r="AZ88" i="1" s="1"/>
  <c r="BA56" i="1"/>
  <c r="BA88" i="1" s="1"/>
  <c r="BB56" i="1"/>
  <c r="BB88" i="1" s="1"/>
  <c r="BC56" i="1"/>
  <c r="BC88" i="1" s="1"/>
  <c r="BD56" i="1"/>
  <c r="BD88" i="1" s="1"/>
  <c r="BE56" i="1"/>
  <c r="BE88" i="1" s="1"/>
  <c r="BF56" i="1"/>
  <c r="BF88" i="1" s="1"/>
  <c r="BG56" i="1"/>
  <c r="BG88" i="1" s="1"/>
  <c r="BH56" i="1"/>
  <c r="BH88" i="1" s="1"/>
  <c r="BI56" i="1"/>
  <c r="BI88" i="1" s="1"/>
  <c r="BJ56" i="1"/>
  <c r="BJ88" i="1" s="1"/>
  <c r="BK56" i="1"/>
  <c r="BK88" i="1" s="1"/>
  <c r="BL56" i="1"/>
  <c r="BL88" i="1" s="1"/>
  <c r="BM56" i="1"/>
  <c r="BM88" i="1" s="1"/>
  <c r="BN56" i="1"/>
  <c r="BN88" i="1" s="1"/>
  <c r="BO56" i="1"/>
  <c r="BO88" i="1" s="1"/>
  <c r="BP56" i="1"/>
  <c r="BP88" i="1" s="1"/>
  <c r="BQ56" i="1"/>
  <c r="BQ88" i="1" s="1"/>
  <c r="BR56" i="1"/>
  <c r="BR88" i="1" s="1"/>
  <c r="BS56" i="1"/>
  <c r="BS88" i="1" s="1"/>
  <c r="BT56" i="1"/>
  <c r="BT88" i="1" s="1"/>
  <c r="BU56" i="1"/>
  <c r="BU88" i="1" s="1"/>
  <c r="BV56" i="1"/>
  <c r="BV88" i="1" s="1"/>
  <c r="BW56" i="1"/>
  <c r="BW88" i="1" s="1"/>
  <c r="BX56" i="1"/>
  <c r="BX88" i="1" s="1"/>
  <c r="BY56" i="1"/>
  <c r="BY88" i="1" s="1"/>
  <c r="BZ56" i="1"/>
  <c r="BZ88" i="1" s="1"/>
  <c r="CA56" i="1"/>
  <c r="CA88" i="1" s="1"/>
  <c r="CB56" i="1"/>
  <c r="CB88" i="1" s="1"/>
  <c r="CC56" i="1"/>
  <c r="CC88" i="1" s="1"/>
  <c r="CD56" i="1"/>
  <c r="CD88" i="1" s="1"/>
  <c r="CE56" i="1"/>
  <c r="CE88" i="1" s="1"/>
  <c r="CF56" i="1"/>
  <c r="CF88" i="1" s="1"/>
  <c r="CG56" i="1"/>
  <c r="CG88" i="1" s="1"/>
  <c r="CH56" i="1"/>
  <c r="CH88" i="1" s="1"/>
  <c r="CI56" i="1"/>
  <c r="CI88" i="1" s="1"/>
  <c r="CJ56" i="1"/>
  <c r="CJ88" i="1" s="1"/>
  <c r="CK56" i="1"/>
  <c r="CK88" i="1" s="1"/>
  <c r="CL56" i="1"/>
  <c r="CL88" i="1" s="1"/>
  <c r="CM56" i="1"/>
  <c r="CM88" i="1" s="1"/>
  <c r="CN56" i="1"/>
  <c r="CN88" i="1" s="1"/>
  <c r="CO56" i="1"/>
  <c r="CO88" i="1" s="1"/>
  <c r="CP56" i="1"/>
  <c r="CP88" i="1" s="1"/>
  <c r="CQ56" i="1"/>
  <c r="CQ88" i="1" s="1"/>
  <c r="CR56" i="1"/>
  <c r="CR88" i="1" s="1"/>
  <c r="CS56" i="1"/>
  <c r="CS88" i="1" s="1"/>
  <c r="CT56" i="1"/>
  <c r="CT88" i="1" s="1"/>
  <c r="CU56" i="1"/>
  <c r="CU88" i="1" s="1"/>
  <c r="CV56" i="1"/>
  <c r="CV88" i="1" s="1"/>
  <c r="CW56" i="1"/>
  <c r="CW88" i="1" s="1"/>
  <c r="CX56" i="1"/>
  <c r="CX88" i="1" s="1"/>
  <c r="CY56" i="1"/>
  <c r="CY88" i="1" s="1"/>
  <c r="S56" i="1"/>
  <c r="S88" i="1" s="1"/>
  <c r="G56" i="1"/>
  <c r="G88" i="1" s="1"/>
  <c r="H56" i="1"/>
  <c r="H88" i="1" s="1"/>
  <c r="I56" i="1"/>
  <c r="I88" i="1" s="1"/>
  <c r="J56" i="1"/>
  <c r="J88" i="1" s="1"/>
  <c r="K56" i="1"/>
  <c r="K88" i="1" s="1"/>
  <c r="L56" i="1"/>
  <c r="L88" i="1" s="1"/>
  <c r="M56" i="1"/>
  <c r="M88" i="1" s="1"/>
  <c r="N56" i="1"/>
  <c r="N88" i="1" s="1"/>
  <c r="O56" i="1"/>
  <c r="O88" i="1" s="1"/>
  <c r="P56" i="1"/>
  <c r="P88" i="1" s="1"/>
  <c r="Q56" i="1"/>
  <c r="Q88" i="1" s="1"/>
  <c r="R56" i="1"/>
  <c r="R88" i="1" s="1"/>
  <c r="E56" i="1"/>
  <c r="E88" i="1" s="1"/>
  <c r="F56" i="1"/>
  <c r="F88" i="1" s="1"/>
  <c r="D56" i="1"/>
  <c r="D88" i="1" s="1"/>
  <c r="N55" i="1"/>
  <c r="O55" i="1"/>
  <c r="P55" i="1"/>
  <c r="Q55" i="1"/>
  <c r="R55" i="1"/>
  <c r="S55" i="1"/>
  <c r="T55" i="1"/>
  <c r="U55" i="1"/>
  <c r="V55" i="1"/>
  <c r="W55" i="1"/>
  <c r="X55" i="1"/>
  <c r="Y55" i="1"/>
  <c r="Z55" i="1"/>
  <c r="AA55" i="1"/>
  <c r="AB55" i="1"/>
  <c r="AC55" i="1"/>
  <c r="AD55" i="1"/>
  <c r="AE55" i="1"/>
  <c r="AF55" i="1"/>
  <c r="AG55" i="1"/>
  <c r="AH55" i="1"/>
  <c r="AI55" i="1"/>
  <c r="AJ55" i="1"/>
  <c r="AK55" i="1"/>
  <c r="AL55" i="1"/>
  <c r="AM55" i="1"/>
  <c r="AN55" i="1"/>
  <c r="AO55" i="1"/>
  <c r="AP55" i="1"/>
  <c r="AQ55" i="1"/>
  <c r="AR55" i="1"/>
  <c r="AS55" i="1"/>
  <c r="AT55" i="1"/>
  <c r="AU55" i="1"/>
  <c r="AV55" i="1"/>
  <c r="AW55" i="1"/>
  <c r="AX55" i="1"/>
  <c r="AY55" i="1"/>
  <c r="AZ55" i="1"/>
  <c r="BA55" i="1"/>
  <c r="BB55" i="1"/>
  <c r="BC55" i="1"/>
  <c r="BD55" i="1"/>
  <c r="BE55" i="1"/>
  <c r="BF55" i="1"/>
  <c r="BG55" i="1"/>
  <c r="BH55" i="1"/>
  <c r="BI55" i="1"/>
  <c r="BJ55" i="1"/>
  <c r="BK55" i="1"/>
  <c r="BL55" i="1"/>
  <c r="BM55" i="1"/>
  <c r="BN55" i="1"/>
  <c r="BO55" i="1"/>
  <c r="BP55" i="1"/>
  <c r="BQ55" i="1"/>
  <c r="BR55" i="1"/>
  <c r="BS55" i="1"/>
  <c r="BT55" i="1"/>
  <c r="BU55" i="1"/>
  <c r="BV55" i="1"/>
  <c r="BW55" i="1"/>
  <c r="BX55" i="1"/>
  <c r="BY55" i="1"/>
  <c r="BZ55" i="1"/>
  <c r="CA55" i="1"/>
  <c r="CB55" i="1"/>
  <c r="CC55" i="1"/>
  <c r="CD55" i="1"/>
  <c r="CE55" i="1"/>
  <c r="CF55" i="1"/>
  <c r="CG55" i="1"/>
  <c r="CH55" i="1"/>
  <c r="CI55" i="1"/>
  <c r="CJ55" i="1"/>
  <c r="CK55" i="1"/>
  <c r="CL55" i="1"/>
  <c r="CM55" i="1"/>
  <c r="CN55" i="1"/>
  <c r="CO55" i="1"/>
  <c r="CP55" i="1"/>
  <c r="CQ55" i="1"/>
  <c r="CR55" i="1"/>
  <c r="CS55" i="1"/>
  <c r="CT55" i="1"/>
  <c r="CU55" i="1"/>
  <c r="CV55" i="1"/>
  <c r="CW55" i="1"/>
  <c r="CX55" i="1"/>
  <c r="CY55" i="1"/>
  <c r="F55" i="1"/>
  <c r="G55" i="1"/>
  <c r="H55" i="1"/>
  <c r="I55" i="1"/>
  <c r="J55" i="1"/>
  <c r="K55" i="1"/>
  <c r="L55" i="1"/>
  <c r="M55" i="1"/>
  <c r="E55" i="1"/>
  <c r="D55" i="1"/>
  <c r="C89" i="1" l="1"/>
  <c r="B57" i="1"/>
  <c r="A89" i="1" s="1"/>
  <c r="K146" i="10"/>
  <c r="K166" i="10"/>
  <c r="K129" i="10"/>
  <c r="P159" i="10"/>
  <c r="P160" i="10"/>
  <c r="P161" i="10"/>
  <c r="P162" i="10"/>
  <c r="P163" i="10"/>
  <c r="P164" i="10"/>
  <c r="P158" i="10"/>
  <c r="P152" i="10"/>
  <c r="P153" i="10"/>
  <c r="P154" i="10"/>
  <c r="P155" i="10"/>
  <c r="P156" i="10"/>
  <c r="P151" i="10"/>
  <c r="P139" i="10"/>
  <c r="P140" i="10"/>
  <c r="P141" i="10"/>
  <c r="P142" i="10"/>
  <c r="P143" i="10"/>
  <c r="P144" i="10"/>
  <c r="P138" i="10"/>
  <c r="P135" i="10"/>
  <c r="P136" i="10"/>
  <c r="P134" i="10"/>
  <c r="P120" i="10"/>
  <c r="P121" i="10"/>
  <c r="P122" i="10"/>
  <c r="P123" i="10"/>
  <c r="P124" i="10"/>
  <c r="P125" i="10"/>
  <c r="P126" i="10"/>
  <c r="P127" i="10"/>
  <c r="P128" i="10"/>
  <c r="P119" i="10"/>
  <c r="P150" i="10"/>
  <c r="P149" i="10"/>
  <c r="P133" i="10"/>
  <c r="P132" i="10"/>
  <c r="P118" i="10"/>
  <c r="P117" i="10"/>
  <c r="R117" i="10"/>
  <c r="V117" i="10"/>
  <c r="Q118" i="10"/>
  <c r="R118" i="10"/>
  <c r="Q119" i="10"/>
  <c r="R119" i="10"/>
  <c r="Q120" i="10"/>
  <c r="R120" i="10"/>
  <c r="Q121" i="10"/>
  <c r="R121" i="10"/>
  <c r="Q122" i="10"/>
  <c r="R122" i="10"/>
  <c r="Q123" i="10"/>
  <c r="R123" i="10"/>
  <c r="Q124" i="10"/>
  <c r="R124" i="10"/>
  <c r="Q125" i="10"/>
  <c r="R125" i="10"/>
  <c r="Q126" i="10"/>
  <c r="R126" i="10"/>
  <c r="Q127" i="10"/>
  <c r="R127" i="10"/>
  <c r="Q128" i="10"/>
  <c r="R128" i="10"/>
  <c r="V129" i="10"/>
  <c r="R132" i="10"/>
  <c r="Q133" i="10"/>
  <c r="R133" i="10"/>
  <c r="Q134" i="10"/>
  <c r="R134" i="10"/>
  <c r="Q135" i="10"/>
  <c r="R135" i="10"/>
  <c r="Q136" i="10"/>
  <c r="R136" i="10"/>
  <c r="V137" i="10"/>
  <c r="Q138" i="10"/>
  <c r="R138" i="10"/>
  <c r="Q139" i="10"/>
  <c r="R139" i="10"/>
  <c r="Q140" i="10"/>
  <c r="R140" i="10"/>
  <c r="Q141" i="10"/>
  <c r="R141" i="10"/>
  <c r="Q142" i="10"/>
  <c r="R142" i="10"/>
  <c r="Q143" i="10"/>
  <c r="R143" i="10"/>
  <c r="Q144" i="10"/>
  <c r="R144" i="10"/>
  <c r="R149" i="10"/>
  <c r="V149" i="10"/>
  <c r="Q150" i="10"/>
  <c r="R150" i="10"/>
  <c r="Q151" i="10"/>
  <c r="R151" i="10"/>
  <c r="Q152" i="10"/>
  <c r="R152" i="10"/>
  <c r="Q153" i="10"/>
  <c r="R153" i="10"/>
  <c r="Q154" i="10"/>
  <c r="R154" i="10"/>
  <c r="Q155" i="10"/>
  <c r="R155" i="10"/>
  <c r="Q156" i="10"/>
  <c r="R156" i="10"/>
  <c r="V156" i="10"/>
  <c r="V157" i="10"/>
  <c r="Q158" i="10"/>
  <c r="R158" i="10"/>
  <c r="Q159" i="10"/>
  <c r="R159" i="10"/>
  <c r="Q160" i="10"/>
  <c r="R160" i="10"/>
  <c r="Q161" i="10"/>
  <c r="R161" i="10"/>
  <c r="Q162" i="10"/>
  <c r="R162" i="10"/>
  <c r="Q163" i="10"/>
  <c r="R163" i="10"/>
  <c r="Q164" i="10"/>
  <c r="R164" i="10"/>
  <c r="P165" i="10" l="1"/>
  <c r="P157" i="10"/>
  <c r="P145" i="10"/>
  <c r="R157" i="10"/>
  <c r="P137" i="10"/>
  <c r="R165" i="10"/>
  <c r="R145" i="10"/>
  <c r="R137" i="10"/>
  <c r="R129" i="10"/>
  <c r="P129" i="10"/>
  <c r="Q165" i="10"/>
  <c r="Q157" i="10"/>
  <c r="Q129" i="10"/>
  <c r="Q145" i="10"/>
  <c r="Q137" i="10"/>
  <c r="R166" i="10" l="1"/>
  <c r="Q166" i="10"/>
  <c r="P166" i="10"/>
  <c r="Q146" i="10"/>
  <c r="P146" i="10"/>
  <c r="R146" i="10"/>
  <c r="N149" i="10" l="1"/>
  <c r="S149" i="10" s="1"/>
  <c r="N132" i="10"/>
  <c r="S132" i="10" s="1"/>
  <c r="N117" i="10"/>
  <c r="S117" i="10" s="1"/>
  <c r="O164" i="10"/>
  <c r="S164" i="10" s="1"/>
  <c r="O163" i="10"/>
  <c r="S163" i="10" s="1"/>
  <c r="O162" i="10"/>
  <c r="S162" i="10" s="1"/>
  <c r="O161" i="10"/>
  <c r="S161" i="10" s="1"/>
  <c r="O160" i="10"/>
  <c r="S160" i="10" s="1"/>
  <c r="O159" i="10"/>
  <c r="S159" i="10" s="1"/>
  <c r="O158" i="10"/>
  <c r="S158" i="10" s="1"/>
  <c r="S156" i="10"/>
  <c r="W156" i="10" s="1"/>
  <c r="S155" i="10"/>
  <c r="W155" i="10" s="1"/>
  <c r="S154" i="10"/>
  <c r="W154" i="10" s="1"/>
  <c r="S153" i="10"/>
  <c r="W153" i="10" s="1"/>
  <c r="S152" i="10"/>
  <c r="W152" i="10" s="1"/>
  <c r="S151" i="10"/>
  <c r="W151" i="10" s="1"/>
  <c r="O150" i="10"/>
  <c r="S150" i="10" s="1"/>
  <c r="O144" i="10"/>
  <c r="S144" i="10" s="1"/>
  <c r="O143" i="10"/>
  <c r="S143" i="10" s="1"/>
  <c r="O142" i="10"/>
  <c r="S142" i="10" s="1"/>
  <c r="O141" i="10"/>
  <c r="S141" i="10" s="1"/>
  <c r="O140" i="10"/>
  <c r="S140" i="10" s="1"/>
  <c r="O139" i="10"/>
  <c r="S139" i="10" s="1"/>
  <c r="O138" i="10"/>
  <c r="S138" i="10" s="1"/>
  <c r="S136" i="10"/>
  <c r="W136" i="10" s="1"/>
  <c r="S135" i="10"/>
  <c r="W135" i="10" s="1"/>
  <c r="S134" i="10"/>
  <c r="W134" i="10" s="1"/>
  <c r="O133" i="10"/>
  <c r="S133" i="10" s="1"/>
  <c r="O128" i="10"/>
  <c r="S128" i="10" s="1"/>
  <c r="O127" i="10"/>
  <c r="S127" i="10" s="1"/>
  <c r="O126" i="10"/>
  <c r="S126" i="10" s="1"/>
  <c r="O125" i="10"/>
  <c r="S125" i="10" s="1"/>
  <c r="O124" i="10"/>
  <c r="S124" i="10" s="1"/>
  <c r="O123" i="10"/>
  <c r="S123" i="10" s="1"/>
  <c r="O122" i="10"/>
  <c r="S122" i="10" s="1"/>
  <c r="S121" i="10"/>
  <c r="O120" i="10"/>
  <c r="S120" i="10" s="1"/>
  <c r="O119" i="10"/>
  <c r="S119" i="10" s="1"/>
  <c r="O118" i="10"/>
  <c r="S118" i="10" s="1"/>
  <c r="T117" i="10" l="1"/>
  <c r="X117" i="10"/>
  <c r="W117" i="10"/>
  <c r="T149" i="10"/>
  <c r="T150" i="10" s="1"/>
  <c r="W149" i="10"/>
  <c r="X149" i="10"/>
  <c r="T132" i="10"/>
  <c r="T133" i="10" s="1"/>
  <c r="X132" i="10"/>
  <c r="W132" i="10"/>
  <c r="S165" i="10"/>
  <c r="W133" i="10"/>
  <c r="S137" i="10"/>
  <c r="W150" i="10"/>
  <c r="S157" i="10"/>
  <c r="S145" i="10"/>
  <c r="W118" i="10"/>
  <c r="S129" i="10"/>
  <c r="T118" i="10"/>
  <c r="N129" i="10"/>
  <c r="BV52" i="1"/>
  <c r="BU52" i="1"/>
  <c r="I35" i="10"/>
  <c r="I34" i="10"/>
  <c r="Z66" i="10"/>
  <c r="BK18" i="1" l="1"/>
  <c r="AQ18" i="1"/>
  <c r="W137" i="10"/>
  <c r="W157" i="10"/>
  <c r="S166" i="10"/>
  <c r="S146" i="10"/>
  <c r="T151" i="10"/>
  <c r="X150" i="10"/>
  <c r="T134" i="10"/>
  <c r="X133" i="10"/>
  <c r="X118" i="10"/>
  <c r="T119" i="10"/>
  <c r="CE18" i="1"/>
  <c r="T120" i="10" l="1"/>
  <c r="T135" i="10"/>
  <c r="X134" i="10"/>
  <c r="X151" i="10"/>
  <c r="T152" i="10"/>
  <c r="B30" i="10"/>
  <c r="H22" i="10"/>
  <c r="I22" i="10" s="1"/>
  <c r="X152" i="10" l="1"/>
  <c r="T153" i="10"/>
  <c r="X135" i="10"/>
  <c r="T136" i="10"/>
  <c r="T121" i="10"/>
  <c r="T122" i="10" l="1"/>
  <c r="X136" i="10"/>
  <c r="X137" i="10" s="1"/>
  <c r="T138" i="10"/>
  <c r="T137" i="10"/>
  <c r="T154" i="10"/>
  <c r="X153" i="10"/>
  <c r="Y65" i="10"/>
  <c r="T155" i="10" l="1"/>
  <c r="X154" i="10"/>
  <c r="T139" i="10"/>
  <c r="T123" i="10"/>
  <c r="C32" i="10"/>
  <c r="C31" i="10" s="1"/>
  <c r="H32" i="10"/>
  <c r="I32" i="10"/>
  <c r="BK17" i="1" s="1"/>
  <c r="T124" i="10" l="1"/>
  <c r="T140" i="10"/>
  <c r="T156" i="10"/>
  <c r="X155" i="10"/>
  <c r="T157" i="10" l="1"/>
  <c r="X156" i="10"/>
  <c r="X157" i="10" s="1"/>
  <c r="T158" i="10"/>
  <c r="T141" i="10"/>
  <c r="T125" i="10"/>
  <c r="G17" i="9"/>
  <c r="H72" i="10"/>
  <c r="T126" i="10" l="1"/>
  <c r="T142" i="10"/>
  <c r="T159" i="10"/>
  <c r="X66" i="10"/>
  <c r="AA59" i="10"/>
  <c r="AO9" i="1" s="1"/>
  <c r="T160" i="10" l="1"/>
  <c r="T143" i="10"/>
  <c r="T127" i="10"/>
  <c r="J3" i="12"/>
  <c r="K3" i="12" s="1"/>
  <c r="D51" i="1" s="1"/>
  <c r="T128" i="10" l="1"/>
  <c r="T144" i="10"/>
  <c r="T161" i="10"/>
  <c r="I103" i="10"/>
  <c r="B45" i="10"/>
  <c r="T162" i="10" l="1"/>
  <c r="T145" i="10"/>
  <c r="T146" i="10" s="1"/>
  <c r="T129" i="10"/>
  <c r="H30" i="1"/>
  <c r="I30" i="1"/>
  <c r="J30" i="1"/>
  <c r="K30" i="1"/>
  <c r="L30" i="1"/>
  <c r="M30" i="1"/>
  <c r="N30" i="1"/>
  <c r="O30" i="1"/>
  <c r="P30" i="1"/>
  <c r="Q30" i="1"/>
  <c r="R30" i="1"/>
  <c r="S30" i="1"/>
  <c r="T30" i="1"/>
  <c r="V30" i="1"/>
  <c r="X30" i="1"/>
  <c r="Y30" i="1"/>
  <c r="AA30" i="1"/>
  <c r="AC30" i="1"/>
  <c r="AD30" i="1"/>
  <c r="AF30" i="1"/>
  <c r="AI30" i="1"/>
  <c r="AK30" i="1"/>
  <c r="AN30" i="1"/>
  <c r="AS30" i="1"/>
  <c r="AT30" i="1"/>
  <c r="AU30" i="1"/>
  <c r="AX30" i="1"/>
  <c r="AY30" i="1"/>
  <c r="AZ30" i="1"/>
  <c r="BC30" i="1"/>
  <c r="BD30" i="1"/>
  <c r="BE30" i="1"/>
  <c r="BH30" i="1"/>
  <c r="BI30" i="1"/>
  <c r="BJ30" i="1"/>
  <c r="BO30" i="1"/>
  <c r="BR30" i="1"/>
  <c r="BS30" i="1"/>
  <c r="BT30" i="1"/>
  <c r="BW30" i="1"/>
  <c r="BX30" i="1"/>
  <c r="BY30" i="1"/>
  <c r="CF30" i="1"/>
  <c r="CG30" i="1"/>
  <c r="CH30" i="1"/>
  <c r="CI30" i="1"/>
  <c r="CK30" i="1"/>
  <c r="CL30" i="1"/>
  <c r="CM30" i="1"/>
  <c r="CN30" i="1"/>
  <c r="CP30" i="1"/>
  <c r="CQ30" i="1"/>
  <c r="CR30" i="1"/>
  <c r="CU30" i="1"/>
  <c r="CV30" i="1"/>
  <c r="CW30" i="1"/>
  <c r="CX30" i="1"/>
  <c r="T163" i="10" l="1"/>
  <c r="B68" i="10"/>
  <c r="B64" i="10"/>
  <c r="T62" i="10"/>
  <c r="S62" i="10"/>
  <c r="R62" i="10"/>
  <c r="M62" i="10"/>
  <c r="V3" i="12"/>
  <c r="E160" i="8"/>
  <c r="E104" i="8"/>
  <c r="E88" i="8"/>
  <c r="E166" i="8"/>
  <c r="E158" i="8"/>
  <c r="E134" i="8"/>
  <c r="E126" i="8"/>
  <c r="E102" i="8"/>
  <c r="E94" i="8"/>
  <c r="E69" i="8"/>
  <c r="E81" i="8"/>
  <c r="E85" i="8"/>
  <c r="E97" i="8"/>
  <c r="E101" i="8"/>
  <c r="E113" i="8"/>
  <c r="E117" i="8"/>
  <c r="E129" i="8"/>
  <c r="E133" i="8"/>
  <c r="E145" i="8"/>
  <c r="E149" i="8"/>
  <c r="E161" i="8"/>
  <c r="E165" i="8"/>
  <c r="E79" i="8"/>
  <c r="E83" i="8"/>
  <c r="E95" i="8"/>
  <c r="E99" i="8"/>
  <c r="E111" i="8"/>
  <c r="E115" i="8"/>
  <c r="E127" i="8"/>
  <c r="E131" i="8"/>
  <c r="E143" i="8"/>
  <c r="E147" i="8"/>
  <c r="E159" i="8"/>
  <c r="E163" i="8"/>
  <c r="E128" i="8"/>
  <c r="E112" i="8"/>
  <c r="E164" i="8"/>
  <c r="E148" i="8"/>
  <c r="E140" i="8"/>
  <c r="E132" i="8"/>
  <c r="E116" i="8"/>
  <c r="E108" i="8"/>
  <c r="E100" i="8"/>
  <c r="E84" i="8"/>
  <c r="E76" i="8"/>
  <c r="E68" i="8"/>
  <c r="E162" i="8"/>
  <c r="E146" i="8"/>
  <c r="E138" i="8"/>
  <c r="E130" i="8"/>
  <c r="E114" i="8"/>
  <c r="E106" i="8"/>
  <c r="E98" i="8"/>
  <c r="E82" i="8"/>
  <c r="E74" i="8"/>
  <c r="D77" i="1"/>
  <c r="CY52" i="1"/>
  <c r="AQ77" i="1"/>
  <c r="AR77" i="1"/>
  <c r="AS77" i="1"/>
  <c r="AT77" i="1"/>
  <c r="AU77" i="1"/>
  <c r="AV77" i="1"/>
  <c r="AW77" i="1"/>
  <c r="AX77" i="1"/>
  <c r="AY77" i="1"/>
  <c r="AZ77" i="1"/>
  <c r="BA77" i="1"/>
  <c r="BB77" i="1"/>
  <c r="BC77" i="1"/>
  <c r="BD77" i="1"/>
  <c r="BE77" i="1"/>
  <c r="BF77" i="1"/>
  <c r="BG77" i="1"/>
  <c r="BH77" i="1"/>
  <c r="BI77" i="1"/>
  <c r="BJ77" i="1"/>
  <c r="BK77" i="1"/>
  <c r="BL77" i="1"/>
  <c r="BM77" i="1"/>
  <c r="BN77" i="1"/>
  <c r="BO77" i="1"/>
  <c r="BP77" i="1"/>
  <c r="BQ77" i="1"/>
  <c r="BR77" i="1"/>
  <c r="BS77" i="1"/>
  <c r="BT77" i="1"/>
  <c r="BU77" i="1"/>
  <c r="BV77" i="1"/>
  <c r="BW77" i="1"/>
  <c r="BX77" i="1"/>
  <c r="BY77" i="1"/>
  <c r="BZ77" i="1"/>
  <c r="CA77" i="1"/>
  <c r="CB77" i="1"/>
  <c r="CC77" i="1"/>
  <c r="CD77" i="1"/>
  <c r="CE77" i="1"/>
  <c r="CF77" i="1"/>
  <c r="CG77" i="1"/>
  <c r="CH77" i="1"/>
  <c r="CI77" i="1"/>
  <c r="CJ77" i="1"/>
  <c r="CK77" i="1"/>
  <c r="CL77" i="1"/>
  <c r="CM77" i="1"/>
  <c r="CN77" i="1"/>
  <c r="CO77" i="1"/>
  <c r="CP77" i="1"/>
  <c r="CQ77" i="1"/>
  <c r="CR77" i="1"/>
  <c r="CS77" i="1"/>
  <c r="CT77" i="1"/>
  <c r="CU77" i="1"/>
  <c r="CV77" i="1"/>
  <c r="CW77" i="1"/>
  <c r="CX77" i="1"/>
  <c r="CY77" i="1"/>
  <c r="Z77" i="1"/>
  <c r="AA77" i="1"/>
  <c r="AB77" i="1"/>
  <c r="AC77" i="1"/>
  <c r="AD77" i="1"/>
  <c r="AE77" i="1"/>
  <c r="AF77" i="1"/>
  <c r="AG77" i="1"/>
  <c r="AH77" i="1"/>
  <c r="AI77" i="1"/>
  <c r="AJ77" i="1"/>
  <c r="AK77" i="1"/>
  <c r="AL77" i="1"/>
  <c r="AM77" i="1"/>
  <c r="AN77" i="1"/>
  <c r="AO77" i="1"/>
  <c r="AP77" i="1"/>
  <c r="H77" i="1"/>
  <c r="I77" i="1"/>
  <c r="J77" i="1"/>
  <c r="K77" i="1"/>
  <c r="L77" i="1"/>
  <c r="M77" i="1"/>
  <c r="N77" i="1"/>
  <c r="O77" i="1"/>
  <c r="P77" i="1"/>
  <c r="Q77" i="1"/>
  <c r="R77" i="1"/>
  <c r="S77" i="1"/>
  <c r="T77" i="1"/>
  <c r="U77" i="1"/>
  <c r="V77" i="1"/>
  <c r="W77" i="1"/>
  <c r="X77" i="1"/>
  <c r="Y77" i="1"/>
  <c r="E77" i="1"/>
  <c r="F77" i="1"/>
  <c r="G77" i="1"/>
  <c r="T60" i="10"/>
  <c r="S60" i="10"/>
  <c r="R60" i="10"/>
  <c r="M60" i="10"/>
  <c r="H60" i="10"/>
  <c r="I60" i="10" s="1"/>
  <c r="J60" i="10" s="1"/>
  <c r="H59" i="10"/>
  <c r="I59" i="10" s="1"/>
  <c r="A8" i="11"/>
  <c r="A9" i="11"/>
  <c r="B106" i="10"/>
  <c r="G13" i="9"/>
  <c r="AR52" i="1" s="1"/>
  <c r="AR84" i="1" s="1"/>
  <c r="G6" i="9"/>
  <c r="H6" i="9" s="1"/>
  <c r="A15" i="11"/>
  <c r="H27" i="10"/>
  <c r="D13" i="1" s="1"/>
  <c r="I55" i="10"/>
  <c r="AL11" i="1" s="1"/>
  <c r="H55" i="10"/>
  <c r="D11" i="1" s="1"/>
  <c r="S4" i="12"/>
  <c r="S7" i="12"/>
  <c r="S6" i="12"/>
  <c r="S5" i="12"/>
  <c r="P14" i="12"/>
  <c r="P13" i="12"/>
  <c r="P12" i="12"/>
  <c r="W3" i="12"/>
  <c r="P11" i="12"/>
  <c r="P7" i="12"/>
  <c r="P6" i="12"/>
  <c r="P5" i="12"/>
  <c r="P4" i="12"/>
  <c r="M119" i="10"/>
  <c r="V119" i="10" s="1"/>
  <c r="M151" i="10"/>
  <c r="V151" i="10" s="1"/>
  <c r="M152" i="10"/>
  <c r="V152" i="10" s="1"/>
  <c r="M153" i="10"/>
  <c r="V153" i="10" s="1"/>
  <c r="M154" i="10"/>
  <c r="V154" i="10" s="1"/>
  <c r="M155" i="10"/>
  <c r="V155" i="10" s="1"/>
  <c r="M156" i="10"/>
  <c r="M150" i="10"/>
  <c r="V150" i="10" s="1"/>
  <c r="J32" i="1"/>
  <c r="A16" i="11"/>
  <c r="B11" i="10"/>
  <c r="D5" i="1"/>
  <c r="H44" i="10"/>
  <c r="A34" i="10"/>
  <c r="H37" i="10"/>
  <c r="R35" i="1" s="1"/>
  <c r="CF31" i="1"/>
  <c r="CG31" i="1"/>
  <c r="CH31" i="1"/>
  <c r="CI31" i="1"/>
  <c r="CL31" i="1"/>
  <c r="CM31" i="1"/>
  <c r="CN31" i="1"/>
  <c r="CP31" i="1"/>
  <c r="CQ31" i="1"/>
  <c r="CR31" i="1"/>
  <c r="CU31" i="1"/>
  <c r="CV31" i="1"/>
  <c r="CW31" i="1"/>
  <c r="CX31" i="1"/>
  <c r="H31" i="1"/>
  <c r="I31" i="1"/>
  <c r="J31" i="1"/>
  <c r="K31" i="1"/>
  <c r="L31" i="1"/>
  <c r="N31" i="1"/>
  <c r="O31" i="1"/>
  <c r="P31" i="1"/>
  <c r="Q31" i="1"/>
  <c r="S31" i="1"/>
  <c r="T31" i="1"/>
  <c r="V31" i="1"/>
  <c r="X31" i="1"/>
  <c r="Y31" i="1"/>
  <c r="AA31" i="1"/>
  <c r="AC31" i="1"/>
  <c r="AD31" i="1"/>
  <c r="AF31" i="1"/>
  <c r="AI31" i="1"/>
  <c r="AK31" i="1"/>
  <c r="AN31" i="1"/>
  <c r="AS31" i="1"/>
  <c r="AT31" i="1"/>
  <c r="AU31" i="1"/>
  <c r="AX31" i="1"/>
  <c r="AZ31" i="1"/>
  <c r="BC31" i="1"/>
  <c r="BD31" i="1"/>
  <c r="BE31" i="1"/>
  <c r="BH31" i="1"/>
  <c r="BI31" i="1"/>
  <c r="BJ31" i="1"/>
  <c r="BO31" i="1"/>
  <c r="BR31" i="1"/>
  <c r="BS31" i="1"/>
  <c r="BT31" i="1"/>
  <c r="BW31" i="1"/>
  <c r="BX31" i="1"/>
  <c r="BY31" i="1"/>
  <c r="H28" i="10"/>
  <c r="D14" i="1" s="1"/>
  <c r="D46" i="1"/>
  <c r="C46" i="1" s="1"/>
  <c r="F54" i="1"/>
  <c r="F86" i="1" s="1"/>
  <c r="G54" i="1"/>
  <c r="G86" i="1" s="1"/>
  <c r="H54" i="1"/>
  <c r="I54" i="1"/>
  <c r="I86" i="1" s="1"/>
  <c r="J54" i="1"/>
  <c r="J86" i="1" s="1"/>
  <c r="K54" i="1"/>
  <c r="K86" i="1" s="1"/>
  <c r="L54" i="1"/>
  <c r="L86" i="1" s="1"/>
  <c r="M54" i="1"/>
  <c r="M86" i="1" s="1"/>
  <c r="N54" i="1"/>
  <c r="O54" i="1"/>
  <c r="O86" i="1" s="1"/>
  <c r="P54" i="1"/>
  <c r="Q54" i="1"/>
  <c r="Q86" i="1" s="1"/>
  <c r="R54" i="1"/>
  <c r="R86" i="1" s="1"/>
  <c r="S54" i="1"/>
  <c r="S86" i="1" s="1"/>
  <c r="T54" i="1"/>
  <c r="T86" i="1" s="1"/>
  <c r="U54" i="1"/>
  <c r="U86" i="1" s="1"/>
  <c r="V54" i="1"/>
  <c r="W54" i="1"/>
  <c r="W86" i="1" s="1"/>
  <c r="X54" i="1"/>
  <c r="Y54" i="1"/>
  <c r="Y86" i="1" s="1"/>
  <c r="Z54" i="1"/>
  <c r="Z86" i="1" s="1"/>
  <c r="AA54" i="1"/>
  <c r="AB54" i="1"/>
  <c r="AB86" i="1" s="1"/>
  <c r="AC54" i="1"/>
  <c r="AC86" i="1" s="1"/>
  <c r="AD54" i="1"/>
  <c r="AD86" i="1" s="1"/>
  <c r="AE54" i="1"/>
  <c r="AE86" i="1" s="1"/>
  <c r="AF54" i="1"/>
  <c r="AH54" i="1"/>
  <c r="AH86" i="1" s="1"/>
  <c r="AI54" i="1"/>
  <c r="AJ54" i="1"/>
  <c r="AJ86" i="1" s="1"/>
  <c r="AK54" i="1"/>
  <c r="AK86" i="1" s="1"/>
  <c r="AM54" i="1"/>
  <c r="AM86" i="1" s="1"/>
  <c r="AN54" i="1"/>
  <c r="AO54" i="1"/>
  <c r="AP54" i="1"/>
  <c r="AP86" i="1" s="1"/>
  <c r="AR54" i="1"/>
  <c r="AR86" i="1" s="1"/>
  <c r="AS54" i="1"/>
  <c r="AS86" i="1" s="1"/>
  <c r="AT54" i="1"/>
  <c r="AU54" i="1"/>
  <c r="AW54" i="1"/>
  <c r="AX54" i="1"/>
  <c r="AX86" i="1" s="1"/>
  <c r="AY54" i="1"/>
  <c r="AY86" i="1" s="1"/>
  <c r="AZ54" i="1"/>
  <c r="AZ86" i="1" s="1"/>
  <c r="BB54" i="1"/>
  <c r="BC54" i="1"/>
  <c r="BD54" i="1"/>
  <c r="BD86" i="1" s="1"/>
  <c r="BE54" i="1"/>
  <c r="BG54" i="1"/>
  <c r="BG86" i="1" s="1"/>
  <c r="BH54" i="1"/>
  <c r="BH86" i="1" s="1"/>
  <c r="BI54" i="1"/>
  <c r="BI86" i="1" s="1"/>
  <c r="BJ54" i="1"/>
  <c r="BL54" i="1"/>
  <c r="BL86" i="1" s="1"/>
  <c r="BM54" i="1"/>
  <c r="BN54" i="1"/>
  <c r="BN86" i="1" s="1"/>
  <c r="BO54" i="1"/>
  <c r="BO86" i="1" s="1"/>
  <c r="BQ54" i="1"/>
  <c r="BQ86" i="1" s="1"/>
  <c r="BR54" i="1"/>
  <c r="BS54" i="1"/>
  <c r="BT54" i="1"/>
  <c r="BT86" i="1" s="1"/>
  <c r="BV54" i="1"/>
  <c r="BV86" i="1" s="1"/>
  <c r="BW54" i="1"/>
  <c r="BW86" i="1" s="1"/>
  <c r="BX54" i="1"/>
  <c r="BX86" i="1" s="1"/>
  <c r="BY54" i="1"/>
  <c r="BY86" i="1" s="1"/>
  <c r="CA54" i="1"/>
  <c r="CA86" i="1" s="1"/>
  <c r="CB54" i="1"/>
  <c r="CB86" i="1" s="1"/>
  <c r="CC54" i="1"/>
  <c r="CC86" i="1" s="1"/>
  <c r="CD54" i="1"/>
  <c r="CD86" i="1" s="1"/>
  <c r="CF54" i="1"/>
  <c r="CF86" i="1" s="1"/>
  <c r="CG54" i="1"/>
  <c r="CG86" i="1" s="1"/>
  <c r="CH54" i="1"/>
  <c r="CI54" i="1"/>
  <c r="CK54" i="1"/>
  <c r="CL54" i="1"/>
  <c r="CL86" i="1" s="1"/>
  <c r="CM54" i="1"/>
  <c r="CM86" i="1" s="1"/>
  <c r="CN54" i="1"/>
  <c r="CN86" i="1" s="1"/>
  <c r="CP54" i="1"/>
  <c r="CQ54" i="1"/>
  <c r="CR54" i="1"/>
  <c r="CR86" i="1" s="1"/>
  <c r="CS54" i="1"/>
  <c r="CU54" i="1"/>
  <c r="CU86" i="1" s="1"/>
  <c r="CV54" i="1"/>
  <c r="CV86" i="1" s="1"/>
  <c r="CW54" i="1"/>
  <c r="CW86" i="1" s="1"/>
  <c r="CX54" i="1"/>
  <c r="D54" i="1"/>
  <c r="B54" i="10"/>
  <c r="H42" i="10"/>
  <c r="A43" i="10"/>
  <c r="A44" i="10"/>
  <c r="A42" i="10"/>
  <c r="A35" i="10"/>
  <c r="C61" i="12"/>
  <c r="C62" i="12"/>
  <c r="C63" i="12"/>
  <c r="C64" i="12" s="1"/>
  <c r="C65" i="12" s="1"/>
  <c r="C66" i="12" s="1"/>
  <c r="C67" i="12"/>
  <c r="C68" i="12" s="1"/>
  <c r="C69" i="12" s="1"/>
  <c r="C70" i="12" s="1"/>
  <c r="C71" i="12" s="1"/>
  <c r="C72" i="12" s="1"/>
  <c r="C73" i="12" s="1"/>
  <c r="C74" i="12" s="1"/>
  <c r="C75" i="12" s="1"/>
  <c r="C76" i="12" s="1"/>
  <c r="C77" i="12" s="1"/>
  <c r="C78" i="12" s="1"/>
  <c r="C79" i="12" s="1"/>
  <c r="C80" i="12" s="1"/>
  <c r="C81" i="12" s="1"/>
  <c r="C82" i="12" s="1"/>
  <c r="C83" i="12" s="1"/>
  <c r="C84" i="12" s="1"/>
  <c r="C85" i="12" s="1"/>
  <c r="C86" i="12" s="1"/>
  <c r="C87" i="12" s="1"/>
  <c r="C88" i="12" s="1"/>
  <c r="C89" i="12" s="1"/>
  <c r="C90" i="12" s="1"/>
  <c r="C91" i="12" s="1"/>
  <c r="C92" i="12" s="1"/>
  <c r="C93" i="12" s="1"/>
  <c r="C94" i="12" s="1"/>
  <c r="C95" i="12" s="1"/>
  <c r="C96" i="12" s="1"/>
  <c r="C97" i="12" s="1"/>
  <c r="C98" i="12" s="1"/>
  <c r="C99" i="12" s="1"/>
  <c r="C100" i="12" s="1"/>
  <c r="C101" i="12" s="1"/>
  <c r="C102" i="12" s="1"/>
  <c r="C103" i="12" s="1"/>
  <c r="C104" i="12" s="1"/>
  <c r="C105" i="12" s="1"/>
  <c r="C106" i="12" s="1"/>
  <c r="C107" i="12" s="1"/>
  <c r="C108" i="12" s="1"/>
  <c r="C109" i="12" s="1"/>
  <c r="C110" i="12" s="1"/>
  <c r="C111" i="12" s="1"/>
  <c r="C112" i="12" s="1"/>
  <c r="C113" i="12" s="1"/>
  <c r="C114" i="12" s="1"/>
  <c r="C115" i="12" s="1"/>
  <c r="C116" i="12" s="1"/>
  <c r="C117" i="12" s="1"/>
  <c r="C118" i="12" s="1"/>
  <c r="C119" i="12" s="1"/>
  <c r="C120" i="12" s="1"/>
  <c r="C121" i="12" s="1"/>
  <c r="C122" i="12" s="1"/>
  <c r="C123" i="12" s="1"/>
  <c r="C124" i="12" s="1"/>
  <c r="C125" i="12" s="1"/>
  <c r="C126" i="12" s="1"/>
  <c r="C127" i="12" s="1"/>
  <c r="C128" i="12" s="1"/>
  <c r="C129" i="12" s="1"/>
  <c r="C130" i="12" s="1"/>
  <c r="C131" i="12" s="1"/>
  <c r="C132" i="12" s="1"/>
  <c r="C133" i="12" s="1"/>
  <c r="C134" i="12" s="1"/>
  <c r="C135" i="12" s="1"/>
  <c r="C136" i="12" s="1"/>
  <c r="C137" i="12" s="1"/>
  <c r="C138" i="12" s="1"/>
  <c r="C139" i="12" s="1"/>
  <c r="C140" i="12" s="1"/>
  <c r="C141" i="12" s="1"/>
  <c r="C142" i="12" s="1"/>
  <c r="C143" i="12" s="1"/>
  <c r="C144" i="12" s="1"/>
  <c r="C145" i="12" s="1"/>
  <c r="C146" i="12" s="1"/>
  <c r="C147" i="12" s="1"/>
  <c r="C148" i="12" s="1"/>
  <c r="C149" i="12" s="1"/>
  <c r="C150" i="12" s="1"/>
  <c r="C151" i="12" s="1"/>
  <c r="C152" i="12" s="1"/>
  <c r="C153" i="12" s="1"/>
  <c r="C154" i="12" s="1"/>
  <c r="C155" i="12" s="1"/>
  <c r="C156" i="12" s="1"/>
  <c r="C157" i="12" s="1"/>
  <c r="C158" i="12" s="1"/>
  <c r="C159" i="12" s="1"/>
  <c r="C160" i="12" s="1"/>
  <c r="B61" i="12"/>
  <c r="B62" i="12"/>
  <c r="B63" i="12"/>
  <c r="B64" i="12" s="1"/>
  <c r="B65" i="12" s="1"/>
  <c r="B66" i="12"/>
  <c r="B67" i="12" s="1"/>
  <c r="B68" i="12" s="1"/>
  <c r="B69" i="12" s="1"/>
  <c r="B70" i="12" s="1"/>
  <c r="B71" i="12" s="1"/>
  <c r="B72" i="12" s="1"/>
  <c r="B73" i="12" s="1"/>
  <c r="B74" i="12" s="1"/>
  <c r="B75" i="12" s="1"/>
  <c r="B76" i="12" s="1"/>
  <c r="B77" i="12" s="1"/>
  <c r="B78" i="12" s="1"/>
  <c r="B79" i="12" s="1"/>
  <c r="B80" i="12" s="1"/>
  <c r="B81" i="12" s="1"/>
  <c r="B82" i="12" s="1"/>
  <c r="B83" i="12" s="1"/>
  <c r="B84" i="12" s="1"/>
  <c r="B85" i="12" s="1"/>
  <c r="B86" i="12" s="1"/>
  <c r="B87" i="12" s="1"/>
  <c r="B88" i="12" s="1"/>
  <c r="B89" i="12" s="1"/>
  <c r="B90" i="12" s="1"/>
  <c r="B91" i="12" s="1"/>
  <c r="B92" i="12" s="1"/>
  <c r="B93" i="12" s="1"/>
  <c r="B94" i="12" s="1"/>
  <c r="B95" i="12" s="1"/>
  <c r="B96" i="12" s="1"/>
  <c r="B97" i="12" s="1"/>
  <c r="B98" i="12" s="1"/>
  <c r="B99" i="12" s="1"/>
  <c r="B100" i="12" s="1"/>
  <c r="B101" i="12" s="1"/>
  <c r="B102" i="12" s="1"/>
  <c r="B103" i="12" s="1"/>
  <c r="B104" i="12" s="1"/>
  <c r="B105" i="12" s="1"/>
  <c r="B106" i="12" s="1"/>
  <c r="B107" i="12" s="1"/>
  <c r="B108" i="12" s="1"/>
  <c r="B109" i="12" s="1"/>
  <c r="B110" i="12" s="1"/>
  <c r="B111" i="12" s="1"/>
  <c r="B112" i="12" s="1"/>
  <c r="B113" i="12" s="1"/>
  <c r="B114" i="12" s="1"/>
  <c r="B115" i="12" s="1"/>
  <c r="B116" i="12" s="1"/>
  <c r="B117" i="12" s="1"/>
  <c r="B118" i="12" s="1"/>
  <c r="B119" i="12" s="1"/>
  <c r="B120" i="12" s="1"/>
  <c r="B121" i="12" s="1"/>
  <c r="B122" i="12" s="1"/>
  <c r="B123" i="12" s="1"/>
  <c r="B124" i="12" s="1"/>
  <c r="B125" i="12" s="1"/>
  <c r="B126" i="12" s="1"/>
  <c r="B127" i="12" s="1"/>
  <c r="B128" i="12" s="1"/>
  <c r="B129" i="12" s="1"/>
  <c r="B130" i="12" s="1"/>
  <c r="B131" i="12" s="1"/>
  <c r="B132" i="12" s="1"/>
  <c r="B133" i="12" s="1"/>
  <c r="B134" i="12" s="1"/>
  <c r="B135" i="12" s="1"/>
  <c r="B136" i="12" s="1"/>
  <c r="B137" i="12" s="1"/>
  <c r="B138" i="12" s="1"/>
  <c r="B139" i="12" s="1"/>
  <c r="B140" i="12" s="1"/>
  <c r="B141" i="12" s="1"/>
  <c r="B142" i="12" s="1"/>
  <c r="B143" i="12" s="1"/>
  <c r="B144" i="12" s="1"/>
  <c r="B145" i="12" s="1"/>
  <c r="B146" i="12" s="1"/>
  <c r="B147" i="12" s="1"/>
  <c r="B148" i="12" s="1"/>
  <c r="B149" i="12" s="1"/>
  <c r="B150" i="12" s="1"/>
  <c r="B151" i="12" s="1"/>
  <c r="B152" i="12" s="1"/>
  <c r="B153" i="12" s="1"/>
  <c r="B154" i="12" s="1"/>
  <c r="B155" i="12" s="1"/>
  <c r="B156" i="12" s="1"/>
  <c r="B157" i="12" s="1"/>
  <c r="B158" i="12" s="1"/>
  <c r="B159" i="12" s="1"/>
  <c r="B160" i="12" s="1"/>
  <c r="M118" i="10"/>
  <c r="V118" i="10" s="1"/>
  <c r="M120" i="10"/>
  <c r="V120" i="10" s="1"/>
  <c r="M121" i="10"/>
  <c r="V121" i="10" s="1"/>
  <c r="M122" i="10"/>
  <c r="V122" i="10" s="1"/>
  <c r="M123" i="10"/>
  <c r="V123" i="10" s="1"/>
  <c r="M124" i="10"/>
  <c r="V124" i="10" s="1"/>
  <c r="M125" i="10"/>
  <c r="V125" i="10" s="1"/>
  <c r="M126" i="10"/>
  <c r="V126" i="10" s="1"/>
  <c r="M127" i="10"/>
  <c r="V127" i="10" s="1"/>
  <c r="M128" i="10"/>
  <c r="V128" i="10" s="1"/>
  <c r="M129" i="10"/>
  <c r="M133" i="10"/>
  <c r="V133" i="10" s="1"/>
  <c r="M134" i="10"/>
  <c r="V134" i="10" s="1"/>
  <c r="M135" i="10"/>
  <c r="V135" i="10" s="1"/>
  <c r="M136" i="10"/>
  <c r="V136" i="10" s="1"/>
  <c r="M137" i="10"/>
  <c r="M138" i="10"/>
  <c r="M139" i="10"/>
  <c r="M140" i="10"/>
  <c r="M141" i="10"/>
  <c r="M142" i="10"/>
  <c r="M143" i="10"/>
  <c r="M144" i="10"/>
  <c r="M145" i="10"/>
  <c r="N145" i="10"/>
  <c r="M157" i="10"/>
  <c r="M158" i="10"/>
  <c r="M159" i="10"/>
  <c r="M160" i="10"/>
  <c r="M161" i="10"/>
  <c r="M162" i="10"/>
  <c r="X162" i="10" s="1"/>
  <c r="M163" i="10"/>
  <c r="M164" i="10"/>
  <c r="M165" i="10"/>
  <c r="N165" i="10"/>
  <c r="H35" i="10"/>
  <c r="H34" i="10"/>
  <c r="R17" i="1"/>
  <c r="R31" i="1" s="1"/>
  <c r="H31" i="10"/>
  <c r="D16" i="1" s="1"/>
  <c r="I31" i="10"/>
  <c r="H49" i="10"/>
  <c r="H50" i="10"/>
  <c r="D7" i="1" s="1"/>
  <c r="C7" i="1" s="1"/>
  <c r="H51" i="10"/>
  <c r="D8" i="1" s="1"/>
  <c r="C8" i="1" s="1"/>
  <c r="H53" i="10"/>
  <c r="D10" i="1" s="1"/>
  <c r="C10" i="1" s="1"/>
  <c r="A5" i="11"/>
  <c r="A6" i="11"/>
  <c r="A10" i="11"/>
  <c r="A11" i="11"/>
  <c r="A13" i="11"/>
  <c r="A12" i="11"/>
  <c r="A14" i="11"/>
  <c r="A7" i="11"/>
  <c r="T66" i="10"/>
  <c r="T59" i="10"/>
  <c r="AR26" i="1" s="1"/>
  <c r="S66" i="10"/>
  <c r="S59" i="10"/>
  <c r="AQ26" i="1" s="1"/>
  <c r="R66" i="10"/>
  <c r="R59" i="10"/>
  <c r="AP26" i="1" s="1"/>
  <c r="O47" i="1"/>
  <c r="P47" i="1"/>
  <c r="Q47" i="1"/>
  <c r="R47" i="1"/>
  <c r="S47" i="1"/>
  <c r="M66" i="10"/>
  <c r="AB66" i="10" s="1"/>
  <c r="S61" i="10"/>
  <c r="BM26" i="1" s="1"/>
  <c r="B59" i="1"/>
  <c r="A91" i="1" s="1"/>
  <c r="B60" i="1"/>
  <c r="A92" i="1" s="1"/>
  <c r="B58" i="1"/>
  <c r="A90" i="1" s="1"/>
  <c r="A87" i="1"/>
  <c r="AS50" i="1"/>
  <c r="AS82" i="1" s="1"/>
  <c r="AT50" i="1"/>
  <c r="AU50" i="1"/>
  <c r="AV50" i="1"/>
  <c r="AV82" i="1" s="1"/>
  <c r="AW50" i="1"/>
  <c r="AX50" i="1"/>
  <c r="AX82" i="1" s="1"/>
  <c r="AY50" i="1"/>
  <c r="AY82" i="1" s="1"/>
  <c r="AZ50" i="1"/>
  <c r="AZ82" i="1" s="1"/>
  <c r="BA50" i="1"/>
  <c r="BA82" i="1" s="1"/>
  <c r="BB50" i="1"/>
  <c r="BC50" i="1"/>
  <c r="BD50" i="1"/>
  <c r="BD82" i="1" s="1"/>
  <c r="BE50" i="1"/>
  <c r="BF50" i="1"/>
  <c r="BF82" i="1" s="1"/>
  <c r="BG50" i="1"/>
  <c r="BG82" i="1" s="1"/>
  <c r="BH50" i="1"/>
  <c r="BH82" i="1" s="1"/>
  <c r="BI50" i="1"/>
  <c r="BI82" i="1" s="1"/>
  <c r="BJ50" i="1"/>
  <c r="BK50" i="1"/>
  <c r="BL50" i="1"/>
  <c r="BL82" i="1" s="1"/>
  <c r="BM50" i="1"/>
  <c r="BN50" i="1"/>
  <c r="BN82" i="1" s="1"/>
  <c r="BO50" i="1"/>
  <c r="BO82" i="1" s="1"/>
  <c r="BP50" i="1"/>
  <c r="BP82" i="1" s="1"/>
  <c r="BQ50" i="1"/>
  <c r="BQ82" i="1" s="1"/>
  <c r="BR50" i="1"/>
  <c r="BS50" i="1"/>
  <c r="BT50" i="1"/>
  <c r="BT82" i="1" s="1"/>
  <c r="BU50" i="1"/>
  <c r="BV50" i="1"/>
  <c r="BV82" i="1" s="1"/>
  <c r="BW50" i="1"/>
  <c r="BW82" i="1" s="1"/>
  <c r="BX50" i="1"/>
  <c r="BX82" i="1" s="1"/>
  <c r="BY50" i="1"/>
  <c r="BY82" i="1" s="1"/>
  <c r="BZ50" i="1"/>
  <c r="CA50" i="1"/>
  <c r="CB50" i="1"/>
  <c r="CB82" i="1" s="1"/>
  <c r="CC50" i="1"/>
  <c r="CD50" i="1"/>
  <c r="CD82" i="1" s="1"/>
  <c r="CE50" i="1"/>
  <c r="CE82" i="1" s="1"/>
  <c r="CF50" i="1"/>
  <c r="CF82" i="1" s="1"/>
  <c r="CG50" i="1"/>
  <c r="CG82" i="1" s="1"/>
  <c r="CH50" i="1"/>
  <c r="CI50" i="1"/>
  <c r="CJ50" i="1"/>
  <c r="CJ82" i="1" s="1"/>
  <c r="CK50" i="1"/>
  <c r="CL50" i="1"/>
  <c r="CL82" i="1" s="1"/>
  <c r="CM50" i="1"/>
  <c r="CM82" i="1" s="1"/>
  <c r="CN50" i="1"/>
  <c r="CN82" i="1" s="1"/>
  <c r="CO50" i="1"/>
  <c r="CO82" i="1" s="1"/>
  <c r="CP50" i="1"/>
  <c r="CQ50" i="1"/>
  <c r="CR50" i="1"/>
  <c r="CR82" i="1" s="1"/>
  <c r="CS50" i="1"/>
  <c r="CT50" i="1"/>
  <c r="CT82" i="1" s="1"/>
  <c r="CU50" i="1"/>
  <c r="CU82" i="1" s="1"/>
  <c r="CV50" i="1"/>
  <c r="CV82" i="1" s="1"/>
  <c r="CW50" i="1"/>
  <c r="CW82" i="1" s="1"/>
  <c r="CX50" i="1"/>
  <c r="CY50" i="1"/>
  <c r="G7" i="9"/>
  <c r="H7" i="9" s="1"/>
  <c r="G5" i="9"/>
  <c r="H5" i="9" s="1"/>
  <c r="B67" i="8" s="1"/>
  <c r="G14" i="9"/>
  <c r="G18" i="9"/>
  <c r="G19" i="9"/>
  <c r="G20" i="9"/>
  <c r="G21" i="9"/>
  <c r="G22" i="9"/>
  <c r="G23" i="9"/>
  <c r="G24" i="9"/>
  <c r="G25" i="9"/>
  <c r="BK52" i="1" s="1"/>
  <c r="G26" i="9"/>
  <c r="BP52" i="1" s="1"/>
  <c r="BP84" i="1" s="1"/>
  <c r="G27" i="9"/>
  <c r="G28" i="9"/>
  <c r="BZ52" i="1" s="1"/>
  <c r="BZ84" i="1" s="1"/>
  <c r="G29" i="9"/>
  <c r="G10" i="9"/>
  <c r="CS52" i="1" s="1"/>
  <c r="CS84" i="1" s="1"/>
  <c r="D45" i="1"/>
  <c r="C45" i="1" s="1"/>
  <c r="H29" i="10"/>
  <c r="D15" i="1" s="1"/>
  <c r="C15" i="1" s="1"/>
  <c r="H26" i="10"/>
  <c r="D12" i="1" s="1"/>
  <c r="D2" i="1"/>
  <c r="Y50" i="1"/>
  <c r="Y82" i="1" s="1"/>
  <c r="Z50" i="1"/>
  <c r="Z82" i="1" s="1"/>
  <c r="AA50" i="1"/>
  <c r="AB50" i="1"/>
  <c r="AB82" i="1" s="1"/>
  <c r="AC50" i="1"/>
  <c r="AC82" i="1" s="1"/>
  <c r="AD50" i="1"/>
  <c r="AD82" i="1" s="1"/>
  <c r="AE50" i="1"/>
  <c r="AE82" i="1" s="1"/>
  <c r="AF50" i="1"/>
  <c r="AG50" i="1"/>
  <c r="AH50" i="1"/>
  <c r="AH82" i="1" s="1"/>
  <c r="AI50" i="1"/>
  <c r="AJ50" i="1"/>
  <c r="AJ82" i="1" s="1"/>
  <c r="AK50" i="1"/>
  <c r="AK82" i="1" s="1"/>
  <c r="AL50" i="1"/>
  <c r="AL82" i="1" s="1"/>
  <c r="AM50" i="1"/>
  <c r="AM82" i="1" s="1"/>
  <c r="AN50" i="1"/>
  <c r="AO50" i="1"/>
  <c r="AP50" i="1"/>
  <c r="AP82" i="1" s="1"/>
  <c r="AQ50" i="1"/>
  <c r="AQ82" i="1" s="1"/>
  <c r="AR50" i="1"/>
  <c r="AR82" i="1" s="1"/>
  <c r="M59" i="10"/>
  <c r="T61" i="10"/>
  <c r="BN26" i="1" s="1"/>
  <c r="T65" i="10"/>
  <c r="S65" i="10"/>
  <c r="R65" i="10"/>
  <c r="M65" i="10"/>
  <c r="M61" i="10"/>
  <c r="R61" i="10"/>
  <c r="BL26" i="1" s="1"/>
  <c r="H61" i="10"/>
  <c r="I61" i="10" s="1"/>
  <c r="J61" i="10" s="1"/>
  <c r="X50" i="1"/>
  <c r="H52" i="10"/>
  <c r="D9" i="1" s="1"/>
  <c r="M47" i="1"/>
  <c r="J47" i="1"/>
  <c r="N47" i="1"/>
  <c r="E47" i="1"/>
  <c r="H47" i="1"/>
  <c r="K47" i="1"/>
  <c r="L47" i="1"/>
  <c r="F47" i="1"/>
  <c r="G47" i="1"/>
  <c r="I47" i="1"/>
  <c r="N137" i="10"/>
  <c r="S14" i="12"/>
  <c r="S12" i="12"/>
  <c r="N157" i="10"/>
  <c r="H32" i="1"/>
  <c r="R83" i="1"/>
  <c r="AB83" i="1"/>
  <c r="W83" i="1"/>
  <c r="W126" i="10" l="1"/>
  <c r="X126" i="10"/>
  <c r="W125" i="10"/>
  <c r="X125" i="10"/>
  <c r="W123" i="10"/>
  <c r="X123" i="10"/>
  <c r="W122" i="10"/>
  <c r="X122" i="10"/>
  <c r="W124" i="10"/>
  <c r="X124" i="10"/>
  <c r="W121" i="10"/>
  <c r="X121" i="10"/>
  <c r="W128" i="10"/>
  <c r="X128" i="10"/>
  <c r="W120" i="10"/>
  <c r="X120" i="10"/>
  <c r="W127" i="10"/>
  <c r="X127" i="10"/>
  <c r="W119" i="10"/>
  <c r="X119" i="10"/>
  <c r="K59" i="10"/>
  <c r="AO53" i="1"/>
  <c r="H83" i="1"/>
  <c r="W85" i="1"/>
  <c r="BK83" i="1"/>
  <c r="M83" i="1"/>
  <c r="D59" i="1"/>
  <c r="D91" i="1" s="1"/>
  <c r="D58" i="1"/>
  <c r="D90" i="1" s="1"/>
  <c r="D60" i="1"/>
  <c r="D92" i="1" s="1"/>
  <c r="AB85" i="1"/>
  <c r="AI82" i="1"/>
  <c r="AA82" i="1"/>
  <c r="CK86" i="1"/>
  <c r="AW86" i="1"/>
  <c r="CS86" i="1"/>
  <c r="BE86" i="1"/>
  <c r="AA86" i="1"/>
  <c r="BM86" i="1"/>
  <c r="AI86" i="1"/>
  <c r="X82" i="1"/>
  <c r="CS82" i="1"/>
  <c r="CK82" i="1"/>
  <c r="CC82" i="1"/>
  <c r="BU82" i="1"/>
  <c r="BM82" i="1"/>
  <c r="BE82" i="1"/>
  <c r="AW82" i="1"/>
  <c r="X86" i="1"/>
  <c r="P86" i="1"/>
  <c r="H86" i="1"/>
  <c r="V85" i="1"/>
  <c r="V84" i="1"/>
  <c r="V83" i="1"/>
  <c r="CA84" i="1"/>
  <c r="CA83" i="1"/>
  <c r="AG82" i="1"/>
  <c r="CI86" i="1"/>
  <c r="CH85" i="1"/>
  <c r="CH84" i="1"/>
  <c r="CH83" i="1"/>
  <c r="CY82" i="1"/>
  <c r="CQ82" i="1"/>
  <c r="CI82" i="1"/>
  <c r="CA82" i="1"/>
  <c r="BS82" i="1"/>
  <c r="BK82" i="1"/>
  <c r="BC82" i="1"/>
  <c r="AU82" i="1"/>
  <c r="BS86" i="1"/>
  <c r="AO86" i="1"/>
  <c r="X84" i="1"/>
  <c r="X85" i="1"/>
  <c r="X83" i="1"/>
  <c r="P84" i="1"/>
  <c r="P85" i="1"/>
  <c r="P83" i="1"/>
  <c r="H84" i="1"/>
  <c r="H85" i="1"/>
  <c r="AI84" i="1"/>
  <c r="AI85" i="1"/>
  <c r="AI83" i="1"/>
  <c r="AA85" i="1"/>
  <c r="AA84" i="1"/>
  <c r="AA83" i="1"/>
  <c r="CS85" i="1"/>
  <c r="CS83" i="1"/>
  <c r="CK84" i="1"/>
  <c r="CK85" i="1"/>
  <c r="CK83" i="1"/>
  <c r="CC85" i="1"/>
  <c r="CC84" i="1"/>
  <c r="CC83" i="1"/>
  <c r="BU85" i="1"/>
  <c r="BU83" i="1"/>
  <c r="BM85" i="1"/>
  <c r="BM84" i="1"/>
  <c r="BM83" i="1"/>
  <c r="BE85" i="1"/>
  <c r="BE84" i="1"/>
  <c r="BE83" i="1"/>
  <c r="AW85" i="1"/>
  <c r="AW83" i="1"/>
  <c r="D85" i="1"/>
  <c r="D84" i="1"/>
  <c r="AO84" i="1"/>
  <c r="AO83" i="1"/>
  <c r="CI85" i="1"/>
  <c r="CI84" i="1"/>
  <c r="CI83" i="1"/>
  <c r="AF84" i="1"/>
  <c r="AF85" i="1"/>
  <c r="AF83" i="1"/>
  <c r="BB85" i="1"/>
  <c r="BB83" i="1"/>
  <c r="CX82" i="1"/>
  <c r="CP82" i="1"/>
  <c r="CH82" i="1"/>
  <c r="BZ82" i="1"/>
  <c r="BR82" i="1"/>
  <c r="BJ82" i="1"/>
  <c r="BB82" i="1"/>
  <c r="AT82" i="1"/>
  <c r="BR86" i="1"/>
  <c r="AN86" i="1"/>
  <c r="V86" i="1"/>
  <c r="N86" i="1"/>
  <c r="O85" i="1"/>
  <c r="O84" i="1"/>
  <c r="O83" i="1"/>
  <c r="AP84" i="1"/>
  <c r="AP85" i="1"/>
  <c r="AP83" i="1"/>
  <c r="AH85" i="1"/>
  <c r="AH83" i="1"/>
  <c r="Z85" i="1"/>
  <c r="Z83" i="1"/>
  <c r="CR85" i="1"/>
  <c r="CR84" i="1"/>
  <c r="CR83" i="1"/>
  <c r="CJ85" i="1"/>
  <c r="CJ83" i="1"/>
  <c r="CB84" i="1"/>
  <c r="CB85" i="1"/>
  <c r="CB83" i="1"/>
  <c r="BT85" i="1"/>
  <c r="BT84" i="1"/>
  <c r="BT83" i="1"/>
  <c r="BL85" i="1"/>
  <c r="BL83" i="1"/>
  <c r="BD85" i="1"/>
  <c r="BD84" i="1"/>
  <c r="BD83" i="1"/>
  <c r="AV85" i="1"/>
  <c r="AV83" i="1"/>
  <c r="AG85" i="1"/>
  <c r="AG83" i="1"/>
  <c r="BS84" i="1"/>
  <c r="BS85" i="1"/>
  <c r="BS83" i="1"/>
  <c r="AO82" i="1"/>
  <c r="CX84" i="1"/>
  <c r="CX85" i="1"/>
  <c r="CX83" i="1"/>
  <c r="BJ84" i="1"/>
  <c r="BJ85" i="1"/>
  <c r="BJ83" i="1"/>
  <c r="AN82" i="1"/>
  <c r="AF82" i="1"/>
  <c r="CH86" i="1"/>
  <c r="AT86" i="1"/>
  <c r="G84" i="1"/>
  <c r="G85" i="1"/>
  <c r="G83" i="1"/>
  <c r="T85" i="1"/>
  <c r="T84" i="1"/>
  <c r="T83" i="1"/>
  <c r="L85" i="1"/>
  <c r="L84" i="1"/>
  <c r="L83" i="1"/>
  <c r="AM85" i="1"/>
  <c r="AM83" i="1"/>
  <c r="AE85" i="1"/>
  <c r="AE83" i="1"/>
  <c r="CW84" i="1"/>
  <c r="CW85" i="1"/>
  <c r="CW83" i="1"/>
  <c r="CO85" i="1"/>
  <c r="CO83" i="1"/>
  <c r="CG84" i="1"/>
  <c r="CG85" i="1"/>
  <c r="CG83" i="1"/>
  <c r="BY85" i="1"/>
  <c r="BY84" i="1"/>
  <c r="BY83" i="1"/>
  <c r="BQ85" i="1"/>
  <c r="BQ83" i="1"/>
  <c r="BI84" i="1"/>
  <c r="BI85" i="1"/>
  <c r="BI83" i="1"/>
  <c r="BA85" i="1"/>
  <c r="BA83" i="1"/>
  <c r="AS84" i="1"/>
  <c r="AS85" i="1"/>
  <c r="AS83" i="1"/>
  <c r="U85" i="1"/>
  <c r="U83" i="1"/>
  <c r="CP85" i="1"/>
  <c r="CP84" i="1"/>
  <c r="CP83" i="1"/>
  <c r="AT84" i="1"/>
  <c r="AT85" i="1"/>
  <c r="AT83" i="1"/>
  <c r="BK84" i="1"/>
  <c r="CQ86" i="1"/>
  <c r="BC86" i="1"/>
  <c r="F84" i="1"/>
  <c r="F85" i="1"/>
  <c r="F83" i="1"/>
  <c r="S85" i="1"/>
  <c r="S84" i="1"/>
  <c r="S83" i="1"/>
  <c r="K85" i="1"/>
  <c r="K84" i="1"/>
  <c r="K83" i="1"/>
  <c r="AL85" i="1"/>
  <c r="AL83" i="1"/>
  <c r="AD84" i="1"/>
  <c r="AD85" i="1"/>
  <c r="AD83" i="1"/>
  <c r="CV84" i="1"/>
  <c r="CV85" i="1"/>
  <c r="CV83" i="1"/>
  <c r="CN84" i="1"/>
  <c r="CN85" i="1"/>
  <c r="CN83" i="1"/>
  <c r="CF85" i="1"/>
  <c r="CF84" i="1"/>
  <c r="CF83" i="1"/>
  <c r="BX85" i="1"/>
  <c r="BX84" i="1"/>
  <c r="BX83" i="1"/>
  <c r="BP85" i="1"/>
  <c r="BP83" i="1"/>
  <c r="BH85" i="1"/>
  <c r="BH84" i="1"/>
  <c r="BH83" i="1"/>
  <c r="AZ84" i="1"/>
  <c r="AZ85" i="1"/>
  <c r="AZ83" i="1"/>
  <c r="AR85" i="1"/>
  <c r="AR83" i="1"/>
  <c r="CY85" i="1"/>
  <c r="CY83" i="1"/>
  <c r="BC85" i="1"/>
  <c r="BC84" i="1"/>
  <c r="BC83" i="1"/>
  <c r="AU86" i="1"/>
  <c r="M85" i="1"/>
  <c r="M84" i="1"/>
  <c r="BZ85" i="1"/>
  <c r="BZ83" i="1"/>
  <c r="CP86" i="1"/>
  <c r="BB86" i="1"/>
  <c r="E85" i="1"/>
  <c r="E84" i="1"/>
  <c r="E83" i="1"/>
  <c r="R84" i="1"/>
  <c r="R85" i="1"/>
  <c r="J84" i="1"/>
  <c r="J85" i="1"/>
  <c r="J83" i="1"/>
  <c r="AK85" i="1"/>
  <c r="AK84" i="1"/>
  <c r="AK83" i="1"/>
  <c r="AC84" i="1"/>
  <c r="AC85" i="1"/>
  <c r="AC83" i="1"/>
  <c r="CU85" i="1"/>
  <c r="CU84" i="1"/>
  <c r="CU83" i="1"/>
  <c r="CM84" i="1"/>
  <c r="CM85" i="1"/>
  <c r="CM83" i="1"/>
  <c r="CE85" i="1"/>
  <c r="CE83" i="1"/>
  <c r="BW84" i="1"/>
  <c r="BW85" i="1"/>
  <c r="BW83" i="1"/>
  <c r="BO84" i="1"/>
  <c r="BO85" i="1"/>
  <c r="BO83" i="1"/>
  <c r="BG85" i="1"/>
  <c r="BG83" i="1"/>
  <c r="AY85" i="1"/>
  <c r="AY84" i="1"/>
  <c r="AY83" i="1"/>
  <c r="AQ85" i="1"/>
  <c r="AQ83" i="1"/>
  <c r="N85" i="1"/>
  <c r="N84" i="1"/>
  <c r="N83" i="1"/>
  <c r="CQ84" i="1"/>
  <c r="CQ85" i="1"/>
  <c r="CQ83" i="1"/>
  <c r="AU84" i="1"/>
  <c r="AU85" i="1"/>
  <c r="AU83" i="1"/>
  <c r="AN85" i="1"/>
  <c r="AN84" i="1"/>
  <c r="AN83" i="1"/>
  <c r="BR84" i="1"/>
  <c r="BR85" i="1"/>
  <c r="BR83" i="1"/>
  <c r="CX86" i="1"/>
  <c r="BJ86" i="1"/>
  <c r="AF86" i="1"/>
  <c r="Y84" i="1"/>
  <c r="Y85" i="1"/>
  <c r="Y83" i="1"/>
  <c r="Q84" i="1"/>
  <c r="Q85" i="1"/>
  <c r="Q83" i="1"/>
  <c r="I84" i="1"/>
  <c r="I85" i="1"/>
  <c r="I83" i="1"/>
  <c r="AJ85" i="1"/>
  <c r="AJ83" i="1"/>
  <c r="CT85" i="1"/>
  <c r="CT83" i="1"/>
  <c r="CL84" i="1"/>
  <c r="CL85" i="1"/>
  <c r="CL83" i="1"/>
  <c r="CD85" i="1"/>
  <c r="CD84" i="1"/>
  <c r="CD83" i="1"/>
  <c r="BV85" i="1"/>
  <c r="BV83" i="1"/>
  <c r="BN84" i="1"/>
  <c r="BN85" i="1"/>
  <c r="BN83" i="1"/>
  <c r="BF85" i="1"/>
  <c r="BF83" i="1"/>
  <c r="AX85" i="1"/>
  <c r="AX84" i="1"/>
  <c r="AX83" i="1"/>
  <c r="CY84" i="1"/>
  <c r="D86" i="1"/>
  <c r="V164" i="10"/>
  <c r="W164" i="10"/>
  <c r="V163" i="10"/>
  <c r="W163" i="10"/>
  <c r="V162" i="10"/>
  <c r="W162" i="10"/>
  <c r="V161" i="10"/>
  <c r="W161" i="10"/>
  <c r="X161" i="10"/>
  <c r="V159" i="10"/>
  <c r="W159" i="10"/>
  <c r="X159" i="10"/>
  <c r="V158" i="10"/>
  <c r="W158" i="10"/>
  <c r="X158" i="10"/>
  <c r="V144" i="10"/>
  <c r="W144" i="10"/>
  <c r="X144" i="10"/>
  <c r="V143" i="10"/>
  <c r="W143" i="10"/>
  <c r="X143" i="10"/>
  <c r="V142" i="10"/>
  <c r="W142" i="10"/>
  <c r="X142" i="10"/>
  <c r="V141" i="10"/>
  <c r="W141" i="10"/>
  <c r="X141" i="10"/>
  <c r="V140" i="10"/>
  <c r="W140" i="10"/>
  <c r="X140" i="10"/>
  <c r="V139" i="10"/>
  <c r="W139" i="10"/>
  <c r="X139" i="10"/>
  <c r="V160" i="10"/>
  <c r="W160" i="10"/>
  <c r="X160" i="10"/>
  <c r="V138" i="10"/>
  <c r="W138" i="10"/>
  <c r="X138" i="10"/>
  <c r="T164" i="10"/>
  <c r="X163" i="10"/>
  <c r="X62" i="10"/>
  <c r="Z62" i="10"/>
  <c r="Y62" i="10"/>
  <c r="AB62" i="10"/>
  <c r="AQ16" i="1"/>
  <c r="BK16" i="1"/>
  <c r="AB60" i="10"/>
  <c r="Z60" i="10"/>
  <c r="X60" i="10"/>
  <c r="Y60" i="10"/>
  <c r="Z59" i="10"/>
  <c r="AB59" i="10"/>
  <c r="AO24" i="1" s="1"/>
  <c r="Y59" i="10"/>
  <c r="X59" i="10"/>
  <c r="AO23" i="1" s="1"/>
  <c r="BU11" i="1"/>
  <c r="X61" i="10"/>
  <c r="Z61" i="10"/>
  <c r="BU29" i="1" s="1"/>
  <c r="Y61" i="10"/>
  <c r="AB61" i="10"/>
  <c r="BK24" i="1" s="1"/>
  <c r="C5" i="1"/>
  <c r="Z65" i="10"/>
  <c r="AB65" i="10"/>
  <c r="J103" i="10"/>
  <c r="Y66" i="10"/>
  <c r="Y68" i="10" s="1"/>
  <c r="AC66" i="10"/>
  <c r="BU30" i="1"/>
  <c r="BU84" i="1"/>
  <c r="AC62" i="10"/>
  <c r="AC59" i="10"/>
  <c r="H74" i="10"/>
  <c r="AS34" i="1" s="1"/>
  <c r="B69" i="10"/>
  <c r="AC65" i="10"/>
  <c r="X65" i="10"/>
  <c r="X68" i="10" s="1"/>
  <c r="O61" i="10"/>
  <c r="BK21" i="1" s="1"/>
  <c r="AC61" i="10"/>
  <c r="S11" i="12"/>
  <c r="V4" i="12"/>
  <c r="D87" i="1"/>
  <c r="O60" i="10"/>
  <c r="AC60" i="10"/>
  <c r="E2" i="1"/>
  <c r="C104" i="8"/>
  <c r="N146" i="10"/>
  <c r="B144" i="8"/>
  <c r="B133" i="8"/>
  <c r="B156" i="8"/>
  <c r="B98" i="8"/>
  <c r="B147" i="8"/>
  <c r="C97" i="8"/>
  <c r="W18" i="1"/>
  <c r="CW32" i="1"/>
  <c r="CT32" i="1"/>
  <c r="S13" i="12"/>
  <c r="W4" i="12" s="1"/>
  <c r="N166" i="10"/>
  <c r="BB52" i="1"/>
  <c r="C114" i="8"/>
  <c r="AT32" i="1"/>
  <c r="N32" i="1"/>
  <c r="AB52" i="1"/>
  <c r="K4" i="12"/>
  <c r="O137" i="10"/>
  <c r="D18" i="1"/>
  <c r="N59" i="10"/>
  <c r="AO19" i="1" s="1"/>
  <c r="C47" i="1"/>
  <c r="C49" i="1"/>
  <c r="D156" i="8"/>
  <c r="D88" i="8"/>
  <c r="D120" i="8"/>
  <c r="D102" i="8"/>
  <c r="D70" i="8"/>
  <c r="D138" i="8"/>
  <c r="D131" i="8"/>
  <c r="D147" i="8"/>
  <c r="D163" i="8"/>
  <c r="D79" i="8"/>
  <c r="D95" i="8"/>
  <c r="D111" i="8"/>
  <c r="D141" i="8"/>
  <c r="D157" i="8"/>
  <c r="D73" i="8"/>
  <c r="D89" i="8"/>
  <c r="D105" i="8"/>
  <c r="D121" i="8"/>
  <c r="D108" i="8"/>
  <c r="D76" i="8"/>
  <c r="D144" i="8"/>
  <c r="D114" i="8"/>
  <c r="D82" i="8"/>
  <c r="D150" i="8"/>
  <c r="D132" i="8"/>
  <c r="D164" i="8"/>
  <c r="D96" i="8"/>
  <c r="D126" i="8"/>
  <c r="D94" i="8"/>
  <c r="D162" i="8"/>
  <c r="D130" i="8"/>
  <c r="D135" i="8"/>
  <c r="D151" i="8"/>
  <c r="D127" i="8"/>
  <c r="D83" i="8"/>
  <c r="D99" i="8"/>
  <c r="D115" i="8"/>
  <c r="D129" i="8"/>
  <c r="D145" i="8"/>
  <c r="D161" i="8"/>
  <c r="D77" i="8"/>
  <c r="D93" i="8"/>
  <c r="D109" i="8"/>
  <c r="D125" i="8"/>
  <c r="D72" i="8"/>
  <c r="D86" i="8"/>
  <c r="D139" i="8"/>
  <c r="D71" i="8"/>
  <c r="D103" i="8"/>
  <c r="D149" i="8"/>
  <c r="D81" i="8"/>
  <c r="D113" i="8"/>
  <c r="D116" i="8"/>
  <c r="D68" i="8"/>
  <c r="D128" i="8"/>
  <c r="D106" i="8"/>
  <c r="D166" i="8"/>
  <c r="D80" i="8"/>
  <c r="D78" i="8"/>
  <c r="D143" i="8"/>
  <c r="D75" i="8"/>
  <c r="D107" i="8"/>
  <c r="D153" i="8"/>
  <c r="D85" i="8"/>
  <c r="D117" i="8"/>
  <c r="D100" i="8"/>
  <c r="D160" i="8"/>
  <c r="D98" i="8"/>
  <c r="D158" i="8"/>
  <c r="D140" i="8"/>
  <c r="D104" i="8"/>
  <c r="D118" i="8"/>
  <c r="D154" i="8"/>
  <c r="D67" i="8"/>
  <c r="D155" i="8"/>
  <c r="D87" i="8"/>
  <c r="D119" i="8"/>
  <c r="D133" i="8"/>
  <c r="D165" i="8"/>
  <c r="D97" i="8"/>
  <c r="D92" i="8"/>
  <c r="D152" i="8"/>
  <c r="D90" i="8"/>
  <c r="D142" i="8"/>
  <c r="D74" i="8"/>
  <c r="D124" i="8"/>
  <c r="D112" i="8"/>
  <c r="D122" i="8"/>
  <c r="B139" i="8"/>
  <c r="B114" i="8"/>
  <c r="D148" i="8"/>
  <c r="J104" i="10"/>
  <c r="H43" i="10"/>
  <c r="H45" i="10" s="1"/>
  <c r="D6" i="1" s="1"/>
  <c r="C6" i="1" s="1"/>
  <c r="CJ52" i="1"/>
  <c r="CJ84" i="1" s="1"/>
  <c r="AV52" i="1"/>
  <c r="AV84" i="1" s="1"/>
  <c r="CO52" i="1"/>
  <c r="CO84" i="1" s="1"/>
  <c r="BF52" i="1"/>
  <c r="AG52" i="1"/>
  <c r="CE52" i="1"/>
  <c r="BA52" i="1"/>
  <c r="BA84" i="1" s="1"/>
  <c r="W52" i="1"/>
  <c r="W84" i="1" s="1"/>
  <c r="CT52" i="1"/>
  <c r="CT84" i="1" s="1"/>
  <c r="AQ52" i="1"/>
  <c r="AQ84" i="1" s="1"/>
  <c r="C69" i="8"/>
  <c r="C101" i="8"/>
  <c r="C133" i="8"/>
  <c r="C115" i="8"/>
  <c r="C83" i="8"/>
  <c r="C151" i="8"/>
  <c r="C144" i="8"/>
  <c r="C160" i="8"/>
  <c r="C76" i="8"/>
  <c r="C92" i="8"/>
  <c r="C108" i="8"/>
  <c r="C124" i="8"/>
  <c r="C140" i="8"/>
  <c r="C154" i="8"/>
  <c r="C70" i="8"/>
  <c r="C86" i="8"/>
  <c r="C102" i="8"/>
  <c r="C118" i="8"/>
  <c r="C134" i="8"/>
  <c r="C121" i="8"/>
  <c r="C89" i="8"/>
  <c r="C157" i="8"/>
  <c r="C127" i="8"/>
  <c r="C95" i="8"/>
  <c r="C163" i="8"/>
  <c r="C145" i="8"/>
  <c r="C77" i="8"/>
  <c r="C109" i="8"/>
  <c r="C135" i="8"/>
  <c r="C139" i="8"/>
  <c r="C107" i="8"/>
  <c r="C75" i="8"/>
  <c r="C148" i="8"/>
  <c r="C164" i="8"/>
  <c r="C80" i="8"/>
  <c r="C96" i="8"/>
  <c r="C112" i="8"/>
  <c r="C128" i="8"/>
  <c r="C158" i="8"/>
  <c r="C74" i="8"/>
  <c r="C90" i="8"/>
  <c r="C106" i="8"/>
  <c r="C122" i="8"/>
  <c r="C138" i="8"/>
  <c r="C113" i="8"/>
  <c r="C81" i="8"/>
  <c r="C153" i="8"/>
  <c r="C117" i="8"/>
  <c r="C131" i="8"/>
  <c r="C143" i="8"/>
  <c r="C152" i="8"/>
  <c r="C84" i="8"/>
  <c r="C116" i="8"/>
  <c r="C162" i="8"/>
  <c r="C94" i="8"/>
  <c r="C126" i="8"/>
  <c r="C137" i="8"/>
  <c r="C73" i="8"/>
  <c r="C111" i="8"/>
  <c r="C71" i="8"/>
  <c r="C161" i="8"/>
  <c r="C125" i="8"/>
  <c r="C123" i="8"/>
  <c r="C159" i="8"/>
  <c r="C156" i="8"/>
  <c r="C88" i="8"/>
  <c r="C120" i="8"/>
  <c r="C166" i="8"/>
  <c r="C98" i="8"/>
  <c r="C130" i="8"/>
  <c r="C129" i="8"/>
  <c r="C165" i="8"/>
  <c r="C103" i="8"/>
  <c r="C155" i="8"/>
  <c r="C67" i="8"/>
  <c r="C85" i="8"/>
  <c r="C141" i="8"/>
  <c r="C99" i="8"/>
  <c r="C68" i="8"/>
  <c r="C100" i="8"/>
  <c r="C132" i="8"/>
  <c r="C146" i="8"/>
  <c r="C78" i="8"/>
  <c r="C110" i="8"/>
  <c r="C142" i="8"/>
  <c r="C105" i="8"/>
  <c r="C149" i="8"/>
  <c r="C87" i="8"/>
  <c r="C147" i="8"/>
  <c r="C79" i="8"/>
  <c r="D136" i="8"/>
  <c r="B162" i="8"/>
  <c r="C82" i="8"/>
  <c r="D137" i="8"/>
  <c r="D110" i="8"/>
  <c r="B95" i="8"/>
  <c r="B89" i="8"/>
  <c r="Z52" i="1"/>
  <c r="Z84" i="1" s="1"/>
  <c r="U52" i="1"/>
  <c r="BQ52" i="1"/>
  <c r="BQ84" i="1" s="1"/>
  <c r="AE52" i="1"/>
  <c r="BL52" i="1"/>
  <c r="BL84" i="1" s="1"/>
  <c r="BG52" i="1"/>
  <c r="BG84" i="1" s="1"/>
  <c r="D101" i="8"/>
  <c r="D91" i="8"/>
  <c r="B150" i="8"/>
  <c r="B166" i="8"/>
  <c r="B120" i="8"/>
  <c r="B128" i="8"/>
  <c r="B136" i="8"/>
  <c r="B68" i="8"/>
  <c r="B76" i="8"/>
  <c r="B84" i="8"/>
  <c r="B92" i="8"/>
  <c r="B100" i="8"/>
  <c r="B91" i="8"/>
  <c r="B75" i="8"/>
  <c r="B135" i="8"/>
  <c r="B118" i="8"/>
  <c r="B148" i="8"/>
  <c r="B157" i="8"/>
  <c r="B111" i="8"/>
  <c r="B151" i="8"/>
  <c r="B143" i="8"/>
  <c r="B94" i="8"/>
  <c r="B78" i="8"/>
  <c r="B138" i="8"/>
  <c r="B122" i="8"/>
  <c r="B154" i="8"/>
  <c r="B152" i="8"/>
  <c r="B106" i="8"/>
  <c r="B121" i="8"/>
  <c r="B129" i="8"/>
  <c r="B137" i="8"/>
  <c r="B69" i="8"/>
  <c r="B77" i="8"/>
  <c r="B85" i="8"/>
  <c r="B93" i="8"/>
  <c r="B101" i="8"/>
  <c r="B103" i="8"/>
  <c r="B87" i="8"/>
  <c r="B71" i="8"/>
  <c r="B131" i="8"/>
  <c r="B110" i="8"/>
  <c r="B145" i="8"/>
  <c r="B161" i="8"/>
  <c r="B115" i="8"/>
  <c r="B155" i="8"/>
  <c r="B109" i="8"/>
  <c r="B90" i="8"/>
  <c r="B74" i="8"/>
  <c r="B134" i="8"/>
  <c r="B116" i="8"/>
  <c r="B146" i="8"/>
  <c r="B158" i="8"/>
  <c r="B124" i="8"/>
  <c r="B140" i="8"/>
  <c r="B80" i="8"/>
  <c r="B96" i="8"/>
  <c r="B83" i="8"/>
  <c r="B127" i="8"/>
  <c r="B149" i="8"/>
  <c r="B119" i="8"/>
  <c r="B159" i="8"/>
  <c r="B86" i="8"/>
  <c r="B130" i="8"/>
  <c r="B160" i="8"/>
  <c r="B125" i="8"/>
  <c r="B141" i="8"/>
  <c r="B81" i="8"/>
  <c r="B97" i="8"/>
  <c r="B79" i="8"/>
  <c r="B123" i="8"/>
  <c r="B153" i="8"/>
  <c r="B163" i="8"/>
  <c r="B82" i="8"/>
  <c r="B126" i="8"/>
  <c r="B112" i="8"/>
  <c r="B132" i="8"/>
  <c r="B72" i="8"/>
  <c r="B88" i="8"/>
  <c r="B104" i="8"/>
  <c r="B99" i="8"/>
  <c r="B105" i="8"/>
  <c r="B164" i="8"/>
  <c r="B165" i="8"/>
  <c r="B113" i="8"/>
  <c r="B102" i="8"/>
  <c r="B70" i="8"/>
  <c r="B108" i="8"/>
  <c r="D69" i="8"/>
  <c r="D159" i="8"/>
  <c r="D146" i="8"/>
  <c r="K105" i="10"/>
  <c r="K103" i="10"/>
  <c r="K104" i="10"/>
  <c r="J105" i="10"/>
  <c r="D134" i="8"/>
  <c r="C119" i="8"/>
  <c r="D84" i="8"/>
  <c r="B142" i="8"/>
  <c r="B117" i="8"/>
  <c r="C150" i="8"/>
  <c r="B107" i="8"/>
  <c r="D123" i="8"/>
  <c r="C91" i="8"/>
  <c r="B73" i="8"/>
  <c r="C93" i="8"/>
  <c r="AA61" i="10"/>
  <c r="BK9" i="1" s="1"/>
  <c r="AA60" i="10"/>
  <c r="AH84" i="1"/>
  <c r="E70" i="8"/>
  <c r="E144" i="8"/>
  <c r="E72" i="8"/>
  <c r="E150" i="8"/>
  <c r="E118" i="8"/>
  <c r="E86" i="8"/>
  <c r="E73" i="8"/>
  <c r="E89" i="8"/>
  <c r="E105" i="8"/>
  <c r="E121" i="8"/>
  <c r="E137" i="8"/>
  <c r="E153" i="8"/>
  <c r="E71" i="8"/>
  <c r="E87" i="8"/>
  <c r="E103" i="8"/>
  <c r="E119" i="8"/>
  <c r="E135" i="8"/>
  <c r="E151" i="8"/>
  <c r="E67" i="8"/>
  <c r="E152" i="8"/>
  <c r="E96" i="8"/>
  <c r="E156" i="8"/>
  <c r="E124" i="8"/>
  <c r="E92" i="8"/>
  <c r="E154" i="8"/>
  <c r="E122" i="8"/>
  <c r="E90" i="8"/>
  <c r="E120" i="8"/>
  <c r="E142" i="8"/>
  <c r="E110" i="8"/>
  <c r="E78" i="8"/>
  <c r="E77" i="8"/>
  <c r="E93" i="8"/>
  <c r="E109" i="8"/>
  <c r="E125" i="8"/>
  <c r="E141" i="8"/>
  <c r="E157" i="8"/>
  <c r="E75" i="8"/>
  <c r="E91" i="8"/>
  <c r="E107" i="8"/>
  <c r="E123" i="8"/>
  <c r="E139" i="8"/>
  <c r="E155" i="8"/>
  <c r="E136" i="8"/>
  <c r="E80" i="8"/>
  <c r="AW52" i="1"/>
  <c r="O157" i="10"/>
  <c r="W16" i="1"/>
  <c r="CY30" i="1"/>
  <c r="CY31" i="1" s="1"/>
  <c r="BZ30" i="1"/>
  <c r="BZ31" i="1" s="1"/>
  <c r="CS30" i="1"/>
  <c r="CS31" i="1" s="1"/>
  <c r="BP30" i="1"/>
  <c r="BP31" i="1" s="1"/>
  <c r="CE17" i="1"/>
  <c r="AQ17" i="1"/>
  <c r="CE16" i="1"/>
  <c r="H54" i="10"/>
  <c r="AI32" i="1"/>
  <c r="AP32" i="1"/>
  <c r="CP32" i="1"/>
  <c r="CY32" i="1"/>
  <c r="CV32" i="1"/>
  <c r="BG32" i="1"/>
  <c r="AC32" i="1"/>
  <c r="BP32" i="1"/>
  <c r="BL32" i="1"/>
  <c r="CF32" i="1"/>
  <c r="CK32" i="1"/>
  <c r="R32" i="1"/>
  <c r="Z32" i="1"/>
  <c r="M32" i="1"/>
  <c r="X32" i="1"/>
  <c r="AM32" i="1"/>
  <c r="CG32" i="1"/>
  <c r="CI32" i="1"/>
  <c r="BY32" i="1"/>
  <c r="BI32" i="1"/>
  <c r="BR32" i="1"/>
  <c r="BA32" i="1"/>
  <c r="CX32" i="1"/>
  <c r="AU32" i="1"/>
  <c r="T32" i="1"/>
  <c r="BU32" i="1"/>
  <c r="S32" i="1"/>
  <c r="P32" i="1"/>
  <c r="AF32" i="1"/>
  <c r="Q32" i="1"/>
  <c r="I32" i="1"/>
  <c r="CB32" i="1"/>
  <c r="CH32" i="1"/>
  <c r="CQ32" i="1"/>
  <c r="BQ32" i="1"/>
  <c r="CN32" i="1"/>
  <c r="CU32" i="1"/>
  <c r="CJ32" i="1"/>
  <c r="CM32" i="1"/>
  <c r="BK32" i="1"/>
  <c r="CS32" i="1"/>
  <c r="CA32" i="1"/>
  <c r="AY32" i="1"/>
  <c r="Y32" i="1"/>
  <c r="G32" i="1"/>
  <c r="K32" i="1"/>
  <c r="F32" i="1"/>
  <c r="AR32" i="1"/>
  <c r="BM32" i="1"/>
  <c r="CL32" i="1"/>
  <c r="BZ32" i="1"/>
  <c r="BJ32" i="1"/>
  <c r="CR32" i="1"/>
  <c r="CO32" i="1"/>
  <c r="T68" i="10"/>
  <c r="N65" i="10"/>
  <c r="N66" i="10"/>
  <c r="BN32" i="1"/>
  <c r="BW32" i="1"/>
  <c r="BC32" i="1"/>
  <c r="BE32" i="1"/>
  <c r="AJ32" i="1"/>
  <c r="AK32" i="1"/>
  <c r="AE32" i="1"/>
  <c r="O32" i="1"/>
  <c r="AH32" i="1"/>
  <c r="AA32" i="1"/>
  <c r="E32" i="1"/>
  <c r="AN32" i="1"/>
  <c r="W32" i="1"/>
  <c r="CE32" i="1"/>
  <c r="AS32" i="1"/>
  <c r="AX32" i="1"/>
  <c r="BB32" i="1"/>
  <c r="AW32" i="1"/>
  <c r="AV32" i="1"/>
  <c r="CC32" i="1"/>
  <c r="BX32" i="1"/>
  <c r="BD32" i="1"/>
  <c r="BF32" i="1"/>
  <c r="BH32" i="1"/>
  <c r="AD32" i="1"/>
  <c r="AQ32" i="1"/>
  <c r="V32" i="1"/>
  <c r="L32" i="1"/>
  <c r="AL32" i="1"/>
  <c r="AG32" i="1"/>
  <c r="U32" i="1"/>
  <c r="AB32" i="1"/>
  <c r="AO32" i="1"/>
  <c r="BV32" i="1"/>
  <c r="BS32" i="1"/>
  <c r="AZ32" i="1"/>
  <c r="BO32" i="1"/>
  <c r="CD32" i="1"/>
  <c r="BT32" i="1"/>
  <c r="S68" i="10"/>
  <c r="O129" i="10"/>
  <c r="O145" i="10"/>
  <c r="CD26" i="1"/>
  <c r="T64" i="10"/>
  <c r="CB26" i="1"/>
  <c r="O59" i="10"/>
  <c r="AO21" i="1" s="1"/>
  <c r="O66" i="10"/>
  <c r="O165" i="10"/>
  <c r="O62" i="10"/>
  <c r="N62" i="10"/>
  <c r="O65" i="10"/>
  <c r="R68" i="10"/>
  <c r="R64" i="10"/>
  <c r="N60" i="10"/>
  <c r="S64" i="10"/>
  <c r="BK53" i="1"/>
  <c r="BK85" i="1" s="1"/>
  <c r="K61" i="10"/>
  <c r="N61" i="10"/>
  <c r="BK19" i="1" s="1"/>
  <c r="K60" i="10"/>
  <c r="CA53" i="1"/>
  <c r="CA85" i="1" s="1"/>
  <c r="CC26" i="1"/>
  <c r="J59" i="10"/>
  <c r="AO85" i="1"/>
  <c r="C35" i="1"/>
  <c r="W129" i="10" l="1"/>
  <c r="D61" i="1"/>
  <c r="C88" i="1"/>
  <c r="E59" i="1"/>
  <c r="E58" i="1"/>
  <c r="E60" i="1"/>
  <c r="E92" i="1" s="1"/>
  <c r="Z64" i="10"/>
  <c r="AY29" i="1"/>
  <c r="AY31" i="1" s="1"/>
  <c r="C11" i="1"/>
  <c r="W165" i="10"/>
  <c r="W166" i="10" s="1"/>
  <c r="X146" i="10"/>
  <c r="X145" i="10"/>
  <c r="W145" i="10"/>
  <c r="W146" i="10" s="1"/>
  <c r="T165" i="10"/>
  <c r="T166" i="10"/>
  <c r="X164" i="10"/>
  <c r="AT34" i="1"/>
  <c r="BK23" i="1"/>
  <c r="K69" i="10"/>
  <c r="CA34" i="1"/>
  <c r="CC34" i="1"/>
  <c r="D33" i="1"/>
  <c r="H34" i="1"/>
  <c r="CD34" i="1"/>
  <c r="AX34" i="1"/>
  <c r="CS34" i="1"/>
  <c r="CE30" i="1"/>
  <c r="CE84" i="1"/>
  <c r="AB30" i="1"/>
  <c r="AB31" i="1" s="1"/>
  <c r="AB84" i="1"/>
  <c r="BB30" i="1"/>
  <c r="BB31" i="1" s="1"/>
  <c r="BB84" i="1"/>
  <c r="U30" i="1"/>
  <c r="U31" i="1" s="1"/>
  <c r="U84" i="1"/>
  <c r="AG30" i="1"/>
  <c r="AG31" i="1" s="1"/>
  <c r="AG84" i="1"/>
  <c r="AM30" i="1"/>
  <c r="AM31" i="1" s="1"/>
  <c r="AM84" i="1"/>
  <c r="BV30" i="1"/>
  <c r="BV31" i="1" s="1"/>
  <c r="BV84" i="1"/>
  <c r="BF30" i="1"/>
  <c r="BF31" i="1" s="1"/>
  <c r="BF84" i="1"/>
  <c r="AW30" i="1"/>
  <c r="AW31" i="1" s="1"/>
  <c r="AW84" i="1"/>
  <c r="AE30" i="1"/>
  <c r="AE31" i="1" s="1"/>
  <c r="AE84" i="1"/>
  <c r="AL30" i="1"/>
  <c r="AL31" i="1" s="1"/>
  <c r="AL84" i="1"/>
  <c r="AJ30" i="1"/>
  <c r="AJ31" i="1" s="1"/>
  <c r="AJ84" i="1"/>
  <c r="BS34" i="1"/>
  <c r="BI34" i="1"/>
  <c r="AW34" i="1"/>
  <c r="AB34" i="1"/>
  <c r="AP34" i="1"/>
  <c r="AG34" i="1"/>
  <c r="AQ34" i="1"/>
  <c r="BY34" i="1"/>
  <c r="BG34" i="1"/>
  <c r="CI34" i="1"/>
  <c r="CR34" i="1"/>
  <c r="BT34" i="1"/>
  <c r="X34" i="1"/>
  <c r="AA34" i="1"/>
  <c r="F34" i="1"/>
  <c r="X64" i="10"/>
  <c r="AC34" i="1"/>
  <c r="CE34" i="1"/>
  <c r="AI34" i="1"/>
  <c r="AR34" i="1"/>
  <c r="CO34" i="1"/>
  <c r="K34" i="1"/>
  <c r="E34" i="1"/>
  <c r="AZ34" i="1"/>
  <c r="CL34" i="1"/>
  <c r="CF34" i="1"/>
  <c r="AN34" i="1"/>
  <c r="AK34" i="1"/>
  <c r="I34" i="1"/>
  <c r="BA34" i="1"/>
  <c r="CJ34" i="1"/>
  <c r="BV34" i="1"/>
  <c r="BL34" i="1"/>
  <c r="BK34" i="1"/>
  <c r="CG34" i="1"/>
  <c r="BP34" i="1"/>
  <c r="CX34" i="1"/>
  <c r="BW34" i="1"/>
  <c r="CQ34" i="1"/>
  <c r="L34" i="1"/>
  <c r="BO34" i="1"/>
  <c r="CH34" i="1"/>
  <c r="CW34" i="1"/>
  <c r="W34" i="1"/>
  <c r="BN34" i="1"/>
  <c r="AH34" i="1"/>
  <c r="AD34" i="1"/>
  <c r="P34" i="1"/>
  <c r="O34" i="1"/>
  <c r="BU34" i="1"/>
  <c r="CM34" i="1"/>
  <c r="BR34" i="1"/>
  <c r="N34" i="1"/>
  <c r="AJ34" i="1"/>
  <c r="AM34" i="1"/>
  <c r="BB34" i="1"/>
  <c r="AY34" i="1"/>
  <c r="CB34" i="1"/>
  <c r="D34" i="1"/>
  <c r="AF34" i="1"/>
  <c r="S34" i="1"/>
  <c r="AL34" i="1"/>
  <c r="CN34" i="1"/>
  <c r="BM34" i="1"/>
  <c r="G34" i="1"/>
  <c r="BC34" i="1"/>
  <c r="M34" i="1"/>
  <c r="BE34" i="1"/>
  <c r="BJ34" i="1"/>
  <c r="CU34" i="1"/>
  <c r="CT34" i="1"/>
  <c r="CK34" i="1"/>
  <c r="CY34" i="1"/>
  <c r="Z34" i="1"/>
  <c r="BX34" i="1"/>
  <c r="Y64" i="10"/>
  <c r="BH34" i="1"/>
  <c r="AU34" i="1"/>
  <c r="AV34" i="1"/>
  <c r="AO34" i="1"/>
  <c r="BD34" i="1"/>
  <c r="CV34" i="1"/>
  <c r="CP34" i="1"/>
  <c r="BQ34" i="1"/>
  <c r="R34" i="1"/>
  <c r="U34" i="1"/>
  <c r="BF34" i="1"/>
  <c r="AO30" i="1"/>
  <c r="AO31" i="1" s="1"/>
  <c r="CA23" i="1"/>
  <c r="BI33" i="1"/>
  <c r="AH33" i="1"/>
  <c r="P33" i="1"/>
  <c r="C136" i="8"/>
  <c r="C72" i="8"/>
  <c r="I33" i="1" s="1"/>
  <c r="BF33" i="1"/>
  <c r="Q34" i="1"/>
  <c r="BZ34" i="1"/>
  <c r="J34" i="1"/>
  <c r="AE34" i="1"/>
  <c r="Y34" i="1"/>
  <c r="BW33" i="1"/>
  <c r="CF33" i="1"/>
  <c r="AL33" i="1"/>
  <c r="AQ33" i="1"/>
  <c r="BP33" i="1"/>
  <c r="AO33" i="1"/>
  <c r="BC33" i="1"/>
  <c r="AS33" i="1"/>
  <c r="AS36" i="1" s="1"/>
  <c r="V34" i="1"/>
  <c r="T34" i="1"/>
  <c r="BR33" i="1"/>
  <c r="AR33" i="1"/>
  <c r="E33" i="1"/>
  <c r="BN33" i="1"/>
  <c r="AV33" i="1"/>
  <c r="AI33" i="1"/>
  <c r="CS33" i="1"/>
  <c r="K33" i="1"/>
  <c r="F33" i="1"/>
  <c r="W33" i="1"/>
  <c r="CX33" i="1"/>
  <c r="CO33" i="1"/>
  <c r="AG33" i="1"/>
  <c r="BG33" i="1"/>
  <c r="CC33" i="1"/>
  <c r="AT33" i="1"/>
  <c r="CJ33" i="1"/>
  <c r="BK33" i="1"/>
  <c r="CL33" i="1"/>
  <c r="Q33" i="1"/>
  <c r="AA33" i="1"/>
  <c r="H33" i="1"/>
  <c r="BV33" i="1"/>
  <c r="O33" i="1"/>
  <c r="BT33" i="1"/>
  <c r="BU33" i="1"/>
  <c r="BD33" i="1"/>
  <c r="CQ33" i="1"/>
  <c r="AZ33" i="1"/>
  <c r="AK33" i="1"/>
  <c r="CY33" i="1"/>
  <c r="CT33" i="1"/>
  <c r="CK33" i="1"/>
  <c r="CI33" i="1"/>
  <c r="AF33" i="1"/>
  <c r="BL33" i="1"/>
  <c r="CA33" i="1"/>
  <c r="BE33" i="1"/>
  <c r="AW33" i="1"/>
  <c r="CH33" i="1"/>
  <c r="AY33" i="1"/>
  <c r="E91" i="1"/>
  <c r="Q60" i="10"/>
  <c r="V60" i="10" s="1"/>
  <c r="CK29" i="1"/>
  <c r="CK31" i="1" s="1"/>
  <c r="E90" i="1"/>
  <c r="E87" i="1"/>
  <c r="F2" i="1"/>
  <c r="CT30" i="1"/>
  <c r="CT31" i="1" s="1"/>
  <c r="Z68" i="10"/>
  <c r="CO30" i="1"/>
  <c r="CO31" i="1" s="1"/>
  <c r="Z30" i="1"/>
  <c r="Z31" i="1" s="1"/>
  <c r="N68" i="10"/>
  <c r="D20" i="1" s="1"/>
  <c r="C20" i="1" s="1"/>
  <c r="AC68" i="10"/>
  <c r="I28" i="10"/>
  <c r="BK14" i="1" s="1"/>
  <c r="I27" i="10"/>
  <c r="BK13" i="1" s="1"/>
  <c r="I26" i="10"/>
  <c r="BK12" i="1" s="1"/>
  <c r="O166" i="10"/>
  <c r="O146" i="10"/>
  <c r="CA24" i="1"/>
  <c r="BA30" i="1"/>
  <c r="BA31" i="1" s="1"/>
  <c r="W30" i="1"/>
  <c r="AB64" i="10"/>
  <c r="J106" i="10"/>
  <c r="AC64" i="10"/>
  <c r="AV30" i="1"/>
  <c r="AV31" i="1" s="1"/>
  <c r="C18" i="1"/>
  <c r="G26" i="1"/>
  <c r="CJ30" i="1"/>
  <c r="CJ31" i="1" s="1"/>
  <c r="BG30" i="1"/>
  <c r="BG31" i="1" s="1"/>
  <c r="K106" i="10"/>
  <c r="S101" i="1" s="1"/>
  <c r="S103" i="1" s="1"/>
  <c r="AB68" i="10"/>
  <c r="Q66" i="10"/>
  <c r="V66" i="10" s="1"/>
  <c r="C52" i="1"/>
  <c r="F26" i="1"/>
  <c r="AH30" i="1"/>
  <c r="AH31" i="1" s="1"/>
  <c r="G33" i="1"/>
  <c r="Y33" i="1"/>
  <c r="CE33" i="1"/>
  <c r="AC33" i="1"/>
  <c r="CU33" i="1"/>
  <c r="CA9" i="1"/>
  <c r="C9" i="1" s="1"/>
  <c r="BQ30" i="1"/>
  <c r="BQ31" i="1" s="1"/>
  <c r="J33" i="1"/>
  <c r="AM33" i="1"/>
  <c r="AP33" i="1"/>
  <c r="S33" i="1"/>
  <c r="BH33" i="1"/>
  <c r="BZ33" i="1"/>
  <c r="BY33" i="1"/>
  <c r="BA33" i="1"/>
  <c r="CD33" i="1"/>
  <c r="X33" i="1"/>
  <c r="V33" i="1"/>
  <c r="CM33" i="1"/>
  <c r="AE33" i="1"/>
  <c r="CP33" i="1"/>
  <c r="L33" i="1"/>
  <c r="U33" i="1"/>
  <c r="BM33" i="1"/>
  <c r="BX33" i="1"/>
  <c r="CW33" i="1"/>
  <c r="R33" i="1"/>
  <c r="BO33" i="1"/>
  <c r="AD33" i="1"/>
  <c r="O64" i="10"/>
  <c r="D21" i="1" s="1"/>
  <c r="BB33" i="1"/>
  <c r="AX33" i="1"/>
  <c r="AJ33" i="1"/>
  <c r="BQ33" i="1"/>
  <c r="CV33" i="1"/>
  <c r="BJ33" i="1"/>
  <c r="CR33" i="1"/>
  <c r="T33" i="1"/>
  <c r="BS33" i="1"/>
  <c r="CN33" i="1"/>
  <c r="AU33" i="1"/>
  <c r="AN33" i="1"/>
  <c r="N33" i="1"/>
  <c r="CB33" i="1"/>
  <c r="CG33" i="1"/>
  <c r="AB33" i="1"/>
  <c r="M33" i="1"/>
  <c r="Z33" i="1"/>
  <c r="Q62" i="10"/>
  <c r="W62" i="10" s="1"/>
  <c r="BU31" i="1"/>
  <c r="C16" i="1"/>
  <c r="C17" i="1"/>
  <c r="CA21" i="1"/>
  <c r="Q59" i="10"/>
  <c r="W59" i="10" s="1"/>
  <c r="AR27" i="1" s="1"/>
  <c r="C32" i="1"/>
  <c r="CA19" i="1"/>
  <c r="O68" i="10"/>
  <c r="D22" i="1" s="1"/>
  <c r="C22" i="1" s="1"/>
  <c r="E26" i="1"/>
  <c r="Q65" i="10"/>
  <c r="Q61" i="10"/>
  <c r="N64" i="10"/>
  <c r="D19" i="1" s="1"/>
  <c r="C85" i="1"/>
  <c r="C53" i="1"/>
  <c r="F59" i="1" l="1"/>
  <c r="F91" i="1" s="1"/>
  <c r="F58" i="1"/>
  <c r="F90" i="1" s="1"/>
  <c r="F60" i="1"/>
  <c r="F92" i="1" s="1"/>
  <c r="D36" i="1"/>
  <c r="AL54" i="1"/>
  <c r="AL86" i="1" s="1"/>
  <c r="AG54" i="1"/>
  <c r="AG86" i="1" s="1"/>
  <c r="AT36" i="1"/>
  <c r="X166" i="10"/>
  <c r="X165" i="10"/>
  <c r="CI36" i="1"/>
  <c r="BK36" i="1"/>
  <c r="H36" i="1"/>
  <c r="CC36" i="1"/>
  <c r="CT36" i="1"/>
  <c r="CA36" i="1"/>
  <c r="CD36" i="1"/>
  <c r="CK36" i="1"/>
  <c r="CS36" i="1"/>
  <c r="AX36" i="1"/>
  <c r="BB36" i="1"/>
  <c r="BS36" i="1"/>
  <c r="CL36" i="1"/>
  <c r="AC36" i="1"/>
  <c r="BG36" i="1"/>
  <c r="BO36" i="1"/>
  <c r="P36" i="1"/>
  <c r="BM36" i="1"/>
  <c r="BL36" i="1"/>
  <c r="AO36" i="1"/>
  <c r="CY36" i="1"/>
  <c r="AW36" i="1"/>
  <c r="J36" i="1"/>
  <c r="M36" i="1"/>
  <c r="AB36" i="1"/>
  <c r="BW36" i="1"/>
  <c r="BI36" i="1"/>
  <c r="CH36" i="1"/>
  <c r="O36" i="1"/>
  <c r="CF36" i="1"/>
  <c r="Y36" i="1"/>
  <c r="BK30" i="1"/>
  <c r="AI36" i="1"/>
  <c r="Z36" i="1"/>
  <c r="L36" i="1"/>
  <c r="AD36" i="1"/>
  <c r="BZ36" i="1"/>
  <c r="BF36" i="1"/>
  <c r="BY36" i="1"/>
  <c r="CB36" i="1"/>
  <c r="AV54" i="1"/>
  <c r="AV86" i="1" s="1"/>
  <c r="E54" i="1"/>
  <c r="E86" i="1" s="1"/>
  <c r="AH36" i="1"/>
  <c r="BX36" i="1"/>
  <c r="X36" i="1"/>
  <c r="AP36" i="1"/>
  <c r="BE36" i="1"/>
  <c r="AK36" i="1"/>
  <c r="CP36" i="1"/>
  <c r="W36" i="1"/>
  <c r="AR36" i="1"/>
  <c r="BT36" i="1"/>
  <c r="CM36" i="1"/>
  <c r="AF36" i="1"/>
  <c r="CX36" i="1"/>
  <c r="BC36" i="1"/>
  <c r="CG36" i="1"/>
  <c r="CR36" i="1"/>
  <c r="CO36" i="1"/>
  <c r="N36" i="1"/>
  <c r="R36" i="1"/>
  <c r="AE36" i="1"/>
  <c r="BH36" i="1"/>
  <c r="BU36" i="1"/>
  <c r="CV36" i="1"/>
  <c r="AN36" i="1"/>
  <c r="BQ36" i="1"/>
  <c r="CW36" i="1"/>
  <c r="BR36" i="1"/>
  <c r="BJ36" i="1"/>
  <c r="I36" i="1"/>
  <c r="K36" i="1"/>
  <c r="D23" i="1"/>
  <c r="C23" i="1" s="1"/>
  <c r="S36" i="1"/>
  <c r="CU36" i="1"/>
  <c r="AA36" i="1"/>
  <c r="AG36" i="1"/>
  <c r="AU36" i="1"/>
  <c r="AJ36" i="1"/>
  <c r="BN36" i="1"/>
  <c r="CE36" i="1"/>
  <c r="BD36" i="1"/>
  <c r="BP36" i="1"/>
  <c r="U36" i="1"/>
  <c r="BA36" i="1"/>
  <c r="G36" i="1"/>
  <c r="AY36" i="1"/>
  <c r="BV36" i="1"/>
  <c r="AZ36" i="1"/>
  <c r="AV36" i="1"/>
  <c r="CQ36" i="1"/>
  <c r="CN36" i="1"/>
  <c r="E36" i="1"/>
  <c r="AM36" i="1"/>
  <c r="AQ36" i="1"/>
  <c r="CJ36" i="1"/>
  <c r="F36" i="1"/>
  <c r="AL36" i="1"/>
  <c r="Q36" i="1"/>
  <c r="V36" i="1"/>
  <c r="BS101" i="1"/>
  <c r="BS103" i="1" s="1"/>
  <c r="C34" i="1"/>
  <c r="T36" i="1"/>
  <c r="W60" i="10"/>
  <c r="CD27" i="1" s="1"/>
  <c r="CD30" i="1" s="1"/>
  <c r="CD31" i="1" s="1"/>
  <c r="U60" i="10"/>
  <c r="M29" i="1"/>
  <c r="C29" i="1" s="1"/>
  <c r="W66" i="10"/>
  <c r="F87" i="1"/>
  <c r="D25" i="1"/>
  <c r="C25" i="1" s="1"/>
  <c r="G2" i="1"/>
  <c r="U66" i="10"/>
  <c r="AQ12" i="1"/>
  <c r="W12" i="1"/>
  <c r="CE12" i="1"/>
  <c r="W13" i="1"/>
  <c r="CE13" i="1"/>
  <c r="AQ13" i="1"/>
  <c r="CE14" i="1"/>
  <c r="AQ14" i="1"/>
  <c r="D83" i="1"/>
  <c r="D24" i="1"/>
  <c r="V62" i="10"/>
  <c r="T48" i="1"/>
  <c r="T50" i="1" s="1"/>
  <c r="T82" i="1" s="1"/>
  <c r="S48" i="1"/>
  <c r="S50" i="1" s="1"/>
  <c r="S82" i="1" s="1"/>
  <c r="W48" i="1"/>
  <c r="W50" i="1" s="1"/>
  <c r="W82" i="1" s="1"/>
  <c r="E48" i="1"/>
  <c r="E50" i="1" s="1"/>
  <c r="E82" i="1" s="1"/>
  <c r="F48" i="1"/>
  <c r="F50" i="1" s="1"/>
  <c r="F82" i="1" s="1"/>
  <c r="N48" i="1"/>
  <c r="N50" i="1" s="1"/>
  <c r="N82" i="1" s="1"/>
  <c r="D48" i="1"/>
  <c r="D50" i="1" s="1"/>
  <c r="D62" i="1" s="1"/>
  <c r="Q48" i="1"/>
  <c r="Q50" i="1" s="1"/>
  <c r="Q82" i="1" s="1"/>
  <c r="V48" i="1"/>
  <c r="V50" i="1" s="1"/>
  <c r="V82" i="1" s="1"/>
  <c r="O48" i="1"/>
  <c r="O50" i="1" s="1"/>
  <c r="O82" i="1" s="1"/>
  <c r="I48" i="1"/>
  <c r="I50" i="1" s="1"/>
  <c r="I82" i="1" s="1"/>
  <c r="R48" i="1"/>
  <c r="R50" i="1" s="1"/>
  <c r="R82" i="1" s="1"/>
  <c r="J48" i="1"/>
  <c r="J50" i="1" s="1"/>
  <c r="J82" i="1" s="1"/>
  <c r="L48" i="1"/>
  <c r="L50" i="1" s="1"/>
  <c r="L82" i="1" s="1"/>
  <c r="K48" i="1"/>
  <c r="K50" i="1" s="1"/>
  <c r="K82" i="1" s="1"/>
  <c r="U48" i="1"/>
  <c r="U50" i="1" s="1"/>
  <c r="U82" i="1" s="1"/>
  <c r="G48" i="1"/>
  <c r="G50" i="1" s="1"/>
  <c r="G82" i="1" s="1"/>
  <c r="P48" i="1"/>
  <c r="P50" i="1" s="1"/>
  <c r="P82" i="1" s="1"/>
  <c r="H48" i="1"/>
  <c r="H50" i="1" s="1"/>
  <c r="H82" i="1" s="1"/>
  <c r="M48" i="1"/>
  <c r="M50" i="1" s="1"/>
  <c r="M82" i="1" s="1"/>
  <c r="AV101" i="1"/>
  <c r="AV103" i="1" s="1"/>
  <c r="M101" i="1"/>
  <c r="M103" i="1" s="1"/>
  <c r="E101" i="1"/>
  <c r="E103" i="1" s="1"/>
  <c r="Z101" i="1"/>
  <c r="Z103" i="1" s="1"/>
  <c r="AQ101" i="1"/>
  <c r="AQ103" i="1" s="1"/>
  <c r="AC101" i="1"/>
  <c r="AC103" i="1" s="1"/>
  <c r="BJ101" i="1"/>
  <c r="BJ103" i="1" s="1"/>
  <c r="AH101" i="1"/>
  <c r="AH103" i="1" s="1"/>
  <c r="BU101" i="1"/>
  <c r="BU103" i="1" s="1"/>
  <c r="AB101" i="1"/>
  <c r="AB103" i="1" s="1"/>
  <c r="CO101" i="1"/>
  <c r="CO103" i="1" s="1"/>
  <c r="U101" i="1"/>
  <c r="U103" i="1" s="1"/>
  <c r="CQ101" i="1"/>
  <c r="CQ103" i="1" s="1"/>
  <c r="T101" i="1"/>
  <c r="T103" i="1" s="1"/>
  <c r="BM101" i="1"/>
  <c r="BM103" i="1" s="1"/>
  <c r="F101" i="1"/>
  <c r="F103" i="1" s="1"/>
  <c r="BH101" i="1"/>
  <c r="BH103" i="1" s="1"/>
  <c r="AD101" i="1"/>
  <c r="AD103" i="1" s="1"/>
  <c r="BI101" i="1"/>
  <c r="BI103" i="1" s="1"/>
  <c r="CE101" i="1"/>
  <c r="CE103" i="1" s="1"/>
  <c r="BO101" i="1"/>
  <c r="BO103" i="1" s="1"/>
  <c r="G101" i="1"/>
  <c r="G103" i="1" s="1"/>
  <c r="V101" i="1"/>
  <c r="V103" i="1" s="1"/>
  <c r="CU101" i="1"/>
  <c r="CU103" i="1" s="1"/>
  <c r="CF101" i="1"/>
  <c r="CF103" i="1" s="1"/>
  <c r="CI101" i="1"/>
  <c r="CI103" i="1" s="1"/>
  <c r="BN101" i="1"/>
  <c r="BN103" i="1" s="1"/>
  <c r="AX101" i="1"/>
  <c r="AX103" i="1" s="1"/>
  <c r="BT101" i="1"/>
  <c r="BT103" i="1" s="1"/>
  <c r="R101" i="1"/>
  <c r="R103" i="1" s="1"/>
  <c r="AP101" i="1"/>
  <c r="AP103" i="1" s="1"/>
  <c r="AY101" i="1"/>
  <c r="AY103" i="1" s="1"/>
  <c r="AM101" i="1"/>
  <c r="AM103" i="1" s="1"/>
  <c r="AZ101" i="1"/>
  <c r="AZ103" i="1" s="1"/>
  <c r="AO101" i="1"/>
  <c r="AO103" i="1" s="1"/>
  <c r="BD101" i="1"/>
  <c r="BD103" i="1" s="1"/>
  <c r="BZ101" i="1"/>
  <c r="BZ103" i="1" s="1"/>
  <c r="CW101" i="1"/>
  <c r="CW103" i="1" s="1"/>
  <c r="CY101" i="1"/>
  <c r="CY103" i="1" s="1"/>
  <c r="BR101" i="1"/>
  <c r="BR103" i="1" s="1"/>
  <c r="CJ101" i="1"/>
  <c r="CJ103" i="1" s="1"/>
  <c r="CX101" i="1"/>
  <c r="CX103" i="1" s="1"/>
  <c r="AN101" i="1"/>
  <c r="AN103" i="1" s="1"/>
  <c r="CR101" i="1"/>
  <c r="CR103" i="1" s="1"/>
  <c r="CP101" i="1"/>
  <c r="CP103" i="1" s="1"/>
  <c r="Q101" i="1"/>
  <c r="Q103" i="1" s="1"/>
  <c r="CA101" i="1"/>
  <c r="CA103" i="1" s="1"/>
  <c r="BL101" i="1"/>
  <c r="BL103" i="1" s="1"/>
  <c r="AI101" i="1"/>
  <c r="AI103" i="1" s="1"/>
  <c r="AA101" i="1"/>
  <c r="AA103" i="1" s="1"/>
  <c r="BV101" i="1"/>
  <c r="BV103" i="1" s="1"/>
  <c r="CL101" i="1"/>
  <c r="CL103" i="1" s="1"/>
  <c r="BE101" i="1"/>
  <c r="BE103" i="1" s="1"/>
  <c r="CN101" i="1"/>
  <c r="CN103" i="1" s="1"/>
  <c r="D101" i="1"/>
  <c r="D103" i="1" s="1"/>
  <c r="BX101" i="1"/>
  <c r="BX103" i="1" s="1"/>
  <c r="BB101" i="1"/>
  <c r="BB103" i="1" s="1"/>
  <c r="BG101" i="1"/>
  <c r="BG103" i="1" s="1"/>
  <c r="BK101" i="1"/>
  <c r="BK103" i="1" s="1"/>
  <c r="W101" i="1"/>
  <c r="W103" i="1" s="1"/>
  <c r="BP101" i="1"/>
  <c r="BP103" i="1" s="1"/>
  <c r="K101" i="1"/>
  <c r="K103" i="1" s="1"/>
  <c r="BY101" i="1"/>
  <c r="BY103" i="1" s="1"/>
  <c r="CD101" i="1"/>
  <c r="CD103" i="1" s="1"/>
  <c r="BF101" i="1"/>
  <c r="BF103" i="1" s="1"/>
  <c r="H101" i="1"/>
  <c r="H103" i="1" s="1"/>
  <c r="AJ101" i="1"/>
  <c r="AJ103" i="1" s="1"/>
  <c r="O101" i="1"/>
  <c r="O103" i="1" s="1"/>
  <c r="BA101" i="1"/>
  <c r="BA103" i="1" s="1"/>
  <c r="AU101" i="1"/>
  <c r="AU103" i="1" s="1"/>
  <c r="CS101" i="1"/>
  <c r="CS103" i="1" s="1"/>
  <c r="X101" i="1"/>
  <c r="X103" i="1" s="1"/>
  <c r="AT101" i="1"/>
  <c r="AT103" i="1" s="1"/>
  <c r="CV101" i="1"/>
  <c r="CV103" i="1" s="1"/>
  <c r="CT101" i="1"/>
  <c r="CT103" i="1" s="1"/>
  <c r="BQ101" i="1"/>
  <c r="BQ103" i="1" s="1"/>
  <c r="CC101" i="1"/>
  <c r="CC103" i="1" s="1"/>
  <c r="CB101" i="1"/>
  <c r="CB103" i="1" s="1"/>
  <c r="I101" i="1"/>
  <c r="I103" i="1" s="1"/>
  <c r="AL101" i="1"/>
  <c r="AL103" i="1" s="1"/>
  <c r="AF101" i="1"/>
  <c r="AF103" i="1" s="1"/>
  <c r="AW101" i="1"/>
  <c r="AW103" i="1" s="1"/>
  <c r="BC101" i="1"/>
  <c r="BC103" i="1" s="1"/>
  <c r="CK101" i="1"/>
  <c r="CK103" i="1" s="1"/>
  <c r="L101" i="1"/>
  <c r="L103" i="1" s="1"/>
  <c r="AR101" i="1"/>
  <c r="AR103" i="1" s="1"/>
  <c r="AG101" i="1"/>
  <c r="AG103" i="1" s="1"/>
  <c r="CH101" i="1"/>
  <c r="CH103" i="1" s="1"/>
  <c r="AE101" i="1"/>
  <c r="AE103" i="1" s="1"/>
  <c r="AS101" i="1"/>
  <c r="AS103" i="1" s="1"/>
  <c r="P101" i="1"/>
  <c r="P103" i="1" s="1"/>
  <c r="J101" i="1"/>
  <c r="J103" i="1" s="1"/>
  <c r="BW101" i="1"/>
  <c r="BW103" i="1" s="1"/>
  <c r="N101" i="1"/>
  <c r="N103" i="1" s="1"/>
  <c r="AK101" i="1"/>
  <c r="AK103" i="1" s="1"/>
  <c r="Y101" i="1"/>
  <c r="Y103" i="1" s="1"/>
  <c r="CM101" i="1"/>
  <c r="CM103" i="1" s="1"/>
  <c r="CG101" i="1"/>
  <c r="CG103" i="1" s="1"/>
  <c r="C26" i="1"/>
  <c r="C21" i="1"/>
  <c r="C33" i="1"/>
  <c r="U62" i="10"/>
  <c r="C84" i="1"/>
  <c r="V59" i="10"/>
  <c r="AQ27" i="1" s="1"/>
  <c r="U59" i="10"/>
  <c r="CA30" i="1"/>
  <c r="CA31" i="1" s="1"/>
  <c r="AR30" i="1"/>
  <c r="AR31" i="1" s="1"/>
  <c r="CT54" i="1"/>
  <c r="CT86" i="1" s="1"/>
  <c r="BP54" i="1"/>
  <c r="BP86" i="1" s="1"/>
  <c r="BZ54" i="1"/>
  <c r="BZ86" i="1" s="1"/>
  <c r="CE54" i="1"/>
  <c r="CE86" i="1" s="1"/>
  <c r="BF54" i="1"/>
  <c r="BF86" i="1" s="1"/>
  <c r="BK54" i="1"/>
  <c r="BK86" i="1" s="1"/>
  <c r="CJ54" i="1"/>
  <c r="CJ86" i="1" s="1"/>
  <c r="CO54" i="1"/>
  <c r="CO86" i="1" s="1"/>
  <c r="AQ54" i="1"/>
  <c r="AQ86" i="1" s="1"/>
  <c r="BU54" i="1"/>
  <c r="BU86" i="1" s="1"/>
  <c r="CY54" i="1"/>
  <c r="CY86" i="1" s="1"/>
  <c r="BA54" i="1"/>
  <c r="BA86" i="1" s="1"/>
  <c r="V65" i="10"/>
  <c r="V68" i="10" s="1"/>
  <c r="F28" i="1" s="1"/>
  <c r="U65" i="10"/>
  <c r="W65" i="10"/>
  <c r="Q68" i="10"/>
  <c r="C19" i="1"/>
  <c r="U61" i="10"/>
  <c r="V61" i="10"/>
  <c r="W61" i="10"/>
  <c r="Q64" i="10"/>
  <c r="G60" i="1" l="1"/>
  <c r="G92" i="1" s="1"/>
  <c r="G59" i="1"/>
  <c r="G91" i="1" s="1"/>
  <c r="G58" i="1"/>
  <c r="G87" i="1"/>
  <c r="AP27" i="1"/>
  <c r="AP30" i="1" s="1"/>
  <c r="AP31" i="1" s="1"/>
  <c r="C36" i="1"/>
  <c r="M31" i="1"/>
  <c r="G90" i="1"/>
  <c r="W68" i="10"/>
  <c r="G28" i="1" s="1"/>
  <c r="D30" i="1"/>
  <c r="D31" i="1" s="1"/>
  <c r="U68" i="10"/>
  <c r="E28" i="1" s="1"/>
  <c r="H2" i="1"/>
  <c r="BK31" i="1"/>
  <c r="CE31" i="1"/>
  <c r="C24" i="1"/>
  <c r="C12" i="1"/>
  <c r="W31" i="1"/>
  <c r="C14" i="1"/>
  <c r="C13" i="1"/>
  <c r="C103" i="1"/>
  <c r="E7" i="13" s="1"/>
  <c r="F7" i="13" s="1"/>
  <c r="C48" i="1"/>
  <c r="C50" i="1" s="1"/>
  <c r="C101" i="1"/>
  <c r="CB27" i="1"/>
  <c r="CB30" i="1" s="1"/>
  <c r="CC27" i="1"/>
  <c r="CC30" i="1" s="1"/>
  <c r="CC31" i="1" s="1"/>
  <c r="C54" i="1"/>
  <c r="BL27" i="1"/>
  <c r="U64" i="10"/>
  <c r="E27" i="1" s="1"/>
  <c r="BN27" i="1"/>
  <c r="BN30" i="1" s="1"/>
  <c r="W64" i="10"/>
  <c r="G27" i="1" s="1"/>
  <c r="BM27" i="1"/>
  <c r="BM30" i="1" s="1"/>
  <c r="V64" i="10"/>
  <c r="F27" i="1" s="1"/>
  <c r="F30" i="1" s="1"/>
  <c r="H60" i="1" l="1"/>
  <c r="H92" i="1" s="1"/>
  <c r="H59" i="1"/>
  <c r="H91" i="1" s="1"/>
  <c r="H58" i="1"/>
  <c r="H90" i="1" s="1"/>
  <c r="D82" i="1"/>
  <c r="C82" i="1" s="1"/>
  <c r="C28" i="1"/>
  <c r="H87" i="1"/>
  <c r="I2" i="1"/>
  <c r="CB31" i="1"/>
  <c r="G30" i="1"/>
  <c r="G31" i="1" s="1"/>
  <c r="E30" i="1"/>
  <c r="E31" i="1" s="1"/>
  <c r="AQ30" i="1"/>
  <c r="AQ31" i="1" s="1"/>
  <c r="BL30" i="1"/>
  <c r="C86" i="1"/>
  <c r="BN31" i="1"/>
  <c r="BM31" i="1"/>
  <c r="C27" i="1"/>
  <c r="F31" i="1"/>
  <c r="I58" i="1" l="1"/>
  <c r="I90" i="1" s="1"/>
  <c r="I60" i="1"/>
  <c r="I92" i="1" s="1"/>
  <c r="I59" i="1"/>
  <c r="I91" i="1" s="1"/>
  <c r="J2" i="1"/>
  <c r="I87" i="1"/>
  <c r="C30" i="1"/>
  <c r="C31" i="1" s="1"/>
  <c r="J87" i="1"/>
  <c r="BL31" i="1"/>
  <c r="J58" i="1" l="1"/>
  <c r="J90" i="1" s="1"/>
  <c r="J60" i="1"/>
  <c r="J92" i="1" s="1"/>
  <c r="J59" i="1"/>
  <c r="J91" i="1" s="1"/>
  <c r="K2" i="1"/>
  <c r="L2" i="1" s="1"/>
  <c r="K87" i="1"/>
  <c r="L59" i="1" l="1"/>
  <c r="L58" i="1"/>
  <c r="L90" i="1" s="1"/>
  <c r="L60" i="1"/>
  <c r="L92" i="1" s="1"/>
  <c r="K58" i="1"/>
  <c r="K90" i="1" s="1"/>
  <c r="K60" i="1"/>
  <c r="K92" i="1" s="1"/>
  <c r="K59" i="1"/>
  <c r="K91" i="1" s="1"/>
  <c r="L91" i="1"/>
  <c r="M2" i="1"/>
  <c r="L87" i="1"/>
  <c r="M59" i="1" l="1"/>
  <c r="M91" i="1" s="1"/>
  <c r="M58" i="1"/>
  <c r="M90" i="1" s="1"/>
  <c r="M60" i="1"/>
  <c r="M92" i="1" s="1"/>
  <c r="M87" i="1"/>
  <c r="N2" i="1"/>
  <c r="N59" i="1" l="1"/>
  <c r="N91" i="1" s="1"/>
  <c r="N58" i="1"/>
  <c r="N90" i="1" s="1"/>
  <c r="N60" i="1"/>
  <c r="N92" i="1" s="1"/>
  <c r="O2" i="1"/>
  <c r="N87" i="1"/>
  <c r="O60" i="1" l="1"/>
  <c r="O92" i="1" s="1"/>
  <c r="O59" i="1"/>
  <c r="O91" i="1" s="1"/>
  <c r="O58" i="1"/>
  <c r="O90" i="1" s="1"/>
  <c r="O87" i="1"/>
  <c r="P2" i="1"/>
  <c r="P60" i="1" l="1"/>
  <c r="P92" i="1" s="1"/>
  <c r="P59" i="1"/>
  <c r="P58" i="1"/>
  <c r="P90" i="1" s="1"/>
  <c r="Q2" i="1"/>
  <c r="P91" i="1"/>
  <c r="P87" i="1"/>
  <c r="Q58" i="1" l="1"/>
  <c r="Q60" i="1"/>
  <c r="Q59" i="1"/>
  <c r="H61" i="1"/>
  <c r="H62" i="1" s="1"/>
  <c r="H70" i="1" s="1"/>
  <c r="H94" i="1" s="1"/>
  <c r="L61" i="1"/>
  <c r="L62" i="1" s="1"/>
  <c r="L70" i="1" s="1"/>
  <c r="L94" i="1" s="1"/>
  <c r="F61" i="1"/>
  <c r="F62" i="1" s="1"/>
  <c r="F69" i="1" s="1"/>
  <c r="F93" i="1" s="1"/>
  <c r="O61" i="1"/>
  <c r="O62" i="1" s="1"/>
  <c r="O70" i="1" s="1"/>
  <c r="O94" i="1" s="1"/>
  <c r="M61" i="1"/>
  <c r="M62" i="1" s="1"/>
  <c r="M70" i="1" s="1"/>
  <c r="M94" i="1" s="1"/>
  <c r="J61" i="1"/>
  <c r="J62" i="1" s="1"/>
  <c r="J70" i="1" s="1"/>
  <c r="J94" i="1" s="1"/>
  <c r="C51" i="1"/>
  <c r="D69" i="1"/>
  <c r="D93" i="1" s="1"/>
  <c r="I61" i="1"/>
  <c r="I62" i="1" s="1"/>
  <c r="I69" i="1" s="1"/>
  <c r="I93" i="1" s="1"/>
  <c r="G61" i="1"/>
  <c r="G62" i="1" s="1"/>
  <c r="G69" i="1" s="1"/>
  <c r="G93" i="1" s="1"/>
  <c r="K61" i="1"/>
  <c r="K62" i="1" s="1"/>
  <c r="K70" i="1" s="1"/>
  <c r="K94" i="1" s="1"/>
  <c r="N61" i="1"/>
  <c r="N62" i="1" s="1"/>
  <c r="N70" i="1" s="1"/>
  <c r="N94" i="1" s="1"/>
  <c r="E61" i="1"/>
  <c r="E62" i="1" s="1"/>
  <c r="E69" i="1" s="1"/>
  <c r="E93" i="1" s="1"/>
  <c r="Q92" i="1"/>
  <c r="R2" i="1"/>
  <c r="Q91" i="1"/>
  <c r="Q87" i="1"/>
  <c r="Q90" i="1"/>
  <c r="P61" i="1"/>
  <c r="P62" i="1" s="1"/>
  <c r="R58" i="1" l="1"/>
  <c r="R60" i="1"/>
  <c r="R59" i="1"/>
  <c r="M69" i="1"/>
  <c r="M93" i="1" s="1"/>
  <c r="D70" i="1"/>
  <c r="D94" i="1" s="1"/>
  <c r="F70" i="1"/>
  <c r="F94" i="1" s="1"/>
  <c r="L69" i="1"/>
  <c r="L93" i="1" s="1"/>
  <c r="H69" i="1"/>
  <c r="H93" i="1" s="1"/>
  <c r="O69" i="1"/>
  <c r="O93" i="1" s="1"/>
  <c r="J69" i="1"/>
  <c r="J93" i="1" s="1"/>
  <c r="E70" i="1"/>
  <c r="E94" i="1" s="1"/>
  <c r="G70" i="1"/>
  <c r="G94" i="1" s="1"/>
  <c r="K69" i="1"/>
  <c r="K93" i="1" s="1"/>
  <c r="C83" i="1"/>
  <c r="I70" i="1"/>
  <c r="I94" i="1" s="1"/>
  <c r="N69" i="1"/>
  <c r="N93" i="1" s="1"/>
  <c r="P69" i="1"/>
  <c r="P93" i="1" s="1"/>
  <c r="P70" i="1"/>
  <c r="P94" i="1" s="1"/>
  <c r="S2" i="1"/>
  <c r="R87" i="1"/>
  <c r="R92" i="1"/>
  <c r="R91" i="1"/>
  <c r="R90" i="1"/>
  <c r="Q61" i="1"/>
  <c r="Q62" i="1" s="1"/>
  <c r="S58" i="1" l="1"/>
  <c r="S90" i="1" s="1"/>
  <c r="S60" i="1"/>
  <c r="S59" i="1"/>
  <c r="R61" i="1"/>
  <c r="R62" i="1" s="1"/>
  <c r="T2" i="1"/>
  <c r="S92" i="1"/>
  <c r="S87" i="1"/>
  <c r="S91" i="1"/>
  <c r="Q70" i="1"/>
  <c r="Q94" i="1" s="1"/>
  <c r="Q69" i="1"/>
  <c r="Q93" i="1" s="1"/>
  <c r="T59" i="1" l="1"/>
  <c r="T58" i="1"/>
  <c r="T60" i="1"/>
  <c r="U2" i="1"/>
  <c r="T91" i="1"/>
  <c r="T90" i="1"/>
  <c r="T92" i="1"/>
  <c r="T87" i="1"/>
  <c r="R69" i="1"/>
  <c r="R93" i="1" s="1"/>
  <c r="R70" i="1"/>
  <c r="R94" i="1" s="1"/>
  <c r="S61" i="1"/>
  <c r="S62" i="1" s="1"/>
  <c r="V37" i="1"/>
  <c r="BH39" i="1"/>
  <c r="R38" i="1"/>
  <c r="CN40" i="1"/>
  <c r="AC38" i="1"/>
  <c r="AZ40" i="1"/>
  <c r="E37" i="1"/>
  <c r="CB39" i="1"/>
  <c r="BW37" i="1"/>
  <c r="CM37" i="1"/>
  <c r="BQ38" i="1"/>
  <c r="AE37" i="1"/>
  <c r="BZ40" i="1"/>
  <c r="T39" i="1"/>
  <c r="P39" i="1"/>
  <c r="AL39" i="1"/>
  <c r="AY39" i="1"/>
  <c r="O39" i="1"/>
  <c r="U40" i="1"/>
  <c r="AB37" i="1"/>
  <c r="Z38" i="1"/>
  <c r="CV38" i="1"/>
  <c r="CF37" i="1"/>
  <c r="BE40" i="1"/>
  <c r="BF37" i="1"/>
  <c r="G37" i="1"/>
  <c r="CP37" i="1"/>
  <c r="BM38" i="1"/>
  <c r="BH40" i="1"/>
  <c r="AA40" i="1"/>
  <c r="BN37" i="1"/>
  <c r="BC38" i="1"/>
  <c r="BG39" i="1"/>
  <c r="BZ39" i="1"/>
  <c r="AT37" i="1"/>
  <c r="AG38" i="1"/>
  <c r="BL40" i="1"/>
  <c r="CH39" i="1"/>
  <c r="CH40" i="1"/>
  <c r="CJ39" i="1"/>
  <c r="BK37" i="1"/>
  <c r="AV38" i="1"/>
  <c r="CC39" i="1"/>
  <c r="AS39" i="1"/>
  <c r="BV39" i="1"/>
  <c r="AX38" i="1"/>
  <c r="BL37" i="1"/>
  <c r="CI40" i="1"/>
  <c r="BS38" i="1"/>
  <c r="BK40" i="1"/>
  <c r="AP37" i="1"/>
  <c r="L40" i="1"/>
  <c r="AJ39" i="1"/>
  <c r="M39" i="1"/>
  <c r="AH38" i="1"/>
  <c r="CP39" i="1"/>
  <c r="BO39" i="1"/>
  <c r="Y40" i="1"/>
  <c r="G40" i="1"/>
  <c r="CW38" i="1"/>
  <c r="AQ39" i="1"/>
  <c r="CL37" i="1"/>
  <c r="BV40" i="1"/>
  <c r="BF40" i="1"/>
  <c r="CQ38" i="1"/>
  <c r="BS37" i="1"/>
  <c r="BE37" i="1"/>
  <c r="AA39" i="1"/>
  <c r="CB38" i="1"/>
  <c r="H38" i="1"/>
  <c r="H40" i="1"/>
  <c r="P37" i="1"/>
  <c r="F38" i="1"/>
  <c r="AF38" i="1"/>
  <c r="S40" i="1"/>
  <c r="AA38" i="1"/>
  <c r="AA37" i="1"/>
  <c r="N38" i="1"/>
  <c r="BT40" i="1"/>
  <c r="W39" i="1"/>
  <c r="CG38" i="1"/>
  <c r="BL38" i="1"/>
  <c r="CV39" i="1"/>
  <c r="E39" i="1"/>
  <c r="R37" i="1"/>
  <c r="AR37" i="1"/>
  <c r="AY40" i="1"/>
  <c r="AT38" i="1"/>
  <c r="CK38" i="1"/>
  <c r="BY40" i="1"/>
  <c r="AO38" i="1"/>
  <c r="AW39" i="1"/>
  <c r="BN40" i="1"/>
  <c r="CI39" i="1"/>
  <c r="Y39" i="1"/>
  <c r="AC40" i="1"/>
  <c r="H37" i="1"/>
  <c r="BQ39" i="1"/>
  <c r="N37" i="1"/>
  <c r="AK37" i="1"/>
  <c r="BR37" i="1"/>
  <c r="AM39" i="1"/>
  <c r="F40" i="1"/>
  <c r="BA38" i="1"/>
  <c r="BG38" i="1"/>
  <c r="BZ37" i="1"/>
  <c r="AF39" i="1"/>
  <c r="BF39" i="1"/>
  <c r="AG40" i="1"/>
  <c r="AO39" i="1"/>
  <c r="L38" i="1"/>
  <c r="D38" i="1"/>
  <c r="BP38" i="1"/>
  <c r="CX39" i="1"/>
  <c r="AU40" i="1"/>
  <c r="BM39" i="1"/>
  <c r="V39" i="1"/>
  <c r="AB40" i="1"/>
  <c r="AJ40" i="1"/>
  <c r="BF38" i="1"/>
  <c r="W40" i="1"/>
  <c r="CK37" i="1"/>
  <c r="K40" i="1"/>
  <c r="CE39" i="1"/>
  <c r="CT38" i="1"/>
  <c r="BV37" i="1"/>
  <c r="AY38" i="1"/>
  <c r="AI38" i="1"/>
  <c r="BO38" i="1"/>
  <c r="W37" i="1"/>
  <c r="O38" i="1"/>
  <c r="AS38" i="1"/>
  <c r="CS40" i="1"/>
  <c r="BE39" i="1"/>
  <c r="CN39" i="1"/>
  <c r="AH39" i="1"/>
  <c r="AS40" i="1"/>
  <c r="AH40" i="1"/>
  <c r="BT39" i="1"/>
  <c r="CT40" i="1"/>
  <c r="K37" i="1"/>
  <c r="BP40" i="1"/>
  <c r="CN38" i="1"/>
  <c r="BO40" i="1"/>
  <c r="AR39" i="1"/>
  <c r="N39" i="1"/>
  <c r="W38" i="1"/>
  <c r="BS40" i="1"/>
  <c r="AJ37" i="1"/>
  <c r="CY37" i="1"/>
  <c r="AT39" i="1"/>
  <c r="AO37" i="1"/>
  <c r="CQ39" i="1"/>
  <c r="AU37" i="1"/>
  <c r="AD37" i="1"/>
  <c r="BA40" i="1"/>
  <c r="BU37" i="1"/>
  <c r="AK39" i="1"/>
  <c r="CU39" i="1"/>
  <c r="I38" i="1"/>
  <c r="CM39" i="1"/>
  <c r="CG39" i="1"/>
  <c r="CM40" i="1"/>
  <c r="CR38" i="1"/>
  <c r="Q39" i="1"/>
  <c r="BW39" i="1"/>
  <c r="BI39" i="1"/>
  <c r="D40" i="1"/>
  <c r="BB40" i="1"/>
  <c r="CI37" i="1"/>
  <c r="CY39" i="1"/>
  <c r="AI40" i="1"/>
  <c r="CO38" i="1"/>
  <c r="CW40" i="1"/>
  <c r="CC37" i="1"/>
  <c r="CU37" i="1"/>
  <c r="BY39" i="1"/>
  <c r="CJ38" i="1"/>
  <c r="AP40" i="1"/>
  <c r="BD40" i="1"/>
  <c r="BQ40" i="1"/>
  <c r="AX39" i="1"/>
  <c r="U38" i="1"/>
  <c r="CW39" i="1"/>
  <c r="BN38" i="1"/>
  <c r="BK38" i="1"/>
  <c r="D39" i="1"/>
  <c r="AJ38" i="1"/>
  <c r="AG39" i="1"/>
  <c r="CG37" i="1"/>
  <c r="BX39" i="1"/>
  <c r="CJ37" i="1"/>
  <c r="BJ38" i="1"/>
  <c r="CR39" i="1"/>
  <c r="BV38" i="1"/>
  <c r="BW38" i="1"/>
  <c r="BI40" i="1"/>
  <c r="CS39" i="1"/>
  <c r="I39" i="1"/>
  <c r="CV37" i="1"/>
  <c r="CO39" i="1"/>
  <c r="AZ37" i="1"/>
  <c r="CD38" i="1"/>
  <c r="BA37" i="1"/>
  <c r="AM37" i="1"/>
  <c r="BI38" i="1"/>
  <c r="CR37" i="1"/>
  <c r="I40" i="1"/>
  <c r="BU40" i="1"/>
  <c r="BP39" i="1"/>
  <c r="AF40" i="1"/>
  <c r="AQ37" i="1"/>
  <c r="CU40" i="1"/>
  <c r="I37" i="1"/>
  <c r="CY38" i="1"/>
  <c r="CA38" i="1"/>
  <c r="AW37" i="1"/>
  <c r="AP39" i="1"/>
  <c r="AK38" i="1"/>
  <c r="CE37" i="1"/>
  <c r="S37" i="1"/>
  <c r="AX37" i="1"/>
  <c r="CY40" i="1"/>
  <c r="BT37" i="1"/>
  <c r="CG40" i="1"/>
  <c r="AL40" i="1"/>
  <c r="CP38" i="1"/>
  <c r="CA40" i="1"/>
  <c r="V40" i="1"/>
  <c r="BR40" i="1"/>
  <c r="BB39" i="1"/>
  <c r="J39" i="1"/>
  <c r="BR39" i="1"/>
  <c r="AW38" i="1"/>
  <c r="BY38" i="1"/>
  <c r="AR40" i="1"/>
  <c r="Z37" i="1"/>
  <c r="AL38" i="1"/>
  <c r="BU39" i="1"/>
  <c r="CB40" i="1"/>
  <c r="CL40" i="1"/>
  <c r="AF37" i="1"/>
  <c r="CI38" i="1"/>
  <c r="BI37" i="1"/>
  <c r="P40" i="1"/>
  <c r="Z39" i="1"/>
  <c r="CR40" i="1"/>
  <c r="CH38" i="1"/>
  <c r="U37" i="1"/>
  <c r="K39" i="1"/>
  <c r="CO37" i="1"/>
  <c r="AE38" i="1"/>
  <c r="R39" i="1"/>
  <c r="BE38" i="1"/>
  <c r="X40" i="1"/>
  <c r="CX37" i="1"/>
  <c r="AV37" i="1"/>
  <c r="BD39" i="1"/>
  <c r="CS37" i="1"/>
  <c r="CJ40" i="1"/>
  <c r="J40" i="1"/>
  <c r="AD39" i="1"/>
  <c r="BB38" i="1"/>
  <c r="AC39" i="1"/>
  <c r="Z40" i="1"/>
  <c r="L37" i="1"/>
  <c r="K38" i="1"/>
  <c r="AV40" i="1"/>
  <c r="L39" i="1"/>
  <c r="X37" i="1"/>
  <c r="AZ39" i="1"/>
  <c r="BN39" i="1"/>
  <c r="AD40" i="1"/>
  <c r="T37" i="1"/>
  <c r="CF40" i="1"/>
  <c r="CE38" i="1"/>
  <c r="Q40" i="1"/>
  <c r="AU38" i="1"/>
  <c r="O37" i="1"/>
  <c r="AS37" i="1"/>
  <c r="BL39" i="1"/>
  <c r="CN37" i="1"/>
  <c r="BM40" i="1"/>
  <c r="D37" i="1"/>
  <c r="G38" i="1"/>
  <c r="O40" i="1"/>
  <c r="AR38" i="1"/>
  <c r="AQ40" i="1"/>
  <c r="S39" i="1"/>
  <c r="AY37" i="1"/>
  <c r="AM40" i="1"/>
  <c r="Q38" i="1"/>
  <c r="T40" i="1"/>
  <c r="AT40" i="1"/>
  <c r="AH37" i="1"/>
  <c r="S38" i="1"/>
  <c r="CF39" i="1"/>
  <c r="AI39" i="1"/>
  <c r="T38" i="1"/>
  <c r="CL39" i="1"/>
  <c r="CL38" i="1"/>
  <c r="R40" i="1"/>
  <c r="X39" i="1"/>
  <c r="CQ37" i="1"/>
  <c r="CH37" i="1"/>
  <c r="AI37" i="1"/>
  <c r="BX40" i="1"/>
  <c r="E38" i="1"/>
  <c r="CW37" i="1"/>
  <c r="AU39" i="1"/>
  <c r="BR38" i="1"/>
  <c r="CC40" i="1"/>
  <c r="CK40" i="1"/>
  <c r="CT37" i="1"/>
  <c r="BT38" i="1"/>
  <c r="AL37" i="1"/>
  <c r="CX40" i="1"/>
  <c r="AM38" i="1"/>
  <c r="CO40" i="1"/>
  <c r="CS38" i="1"/>
  <c r="N40" i="1"/>
  <c r="CE40" i="1"/>
  <c r="AO40" i="1"/>
  <c r="CD40" i="1"/>
  <c r="CK39" i="1"/>
  <c r="CA39" i="1"/>
  <c r="P38" i="1"/>
  <c r="BQ37" i="1"/>
  <c r="BU38" i="1"/>
  <c r="BO37" i="1"/>
  <c r="BD38" i="1"/>
  <c r="V38" i="1"/>
  <c r="BB37" i="1"/>
  <c r="U39" i="1"/>
  <c r="BS39" i="1"/>
  <c r="BJ37" i="1"/>
  <c r="AV39" i="1"/>
  <c r="CV40" i="1"/>
  <c r="AB39" i="1"/>
  <c r="AX40" i="1"/>
  <c r="AN38" i="1"/>
  <c r="BK39" i="1"/>
  <c r="BX37" i="1"/>
  <c r="AN37" i="1"/>
  <c r="CD39" i="1"/>
  <c r="AB38" i="1"/>
  <c r="BG37" i="1"/>
  <c r="M37" i="1"/>
  <c r="BD37" i="1"/>
  <c r="AE40" i="1"/>
  <c r="BA39" i="1"/>
  <c r="CQ40" i="1"/>
  <c r="AG37" i="1"/>
  <c r="BX38" i="1"/>
  <c r="BC39" i="1"/>
  <c r="BH38" i="1"/>
  <c r="AQ38" i="1"/>
  <c r="J37" i="1"/>
  <c r="CT39" i="1"/>
  <c r="M38" i="1"/>
  <c r="BG40" i="1"/>
  <c r="CU38" i="1"/>
  <c r="AN40" i="1"/>
  <c r="BY37" i="1"/>
  <c r="BH37" i="1"/>
  <c r="Y37" i="1"/>
  <c r="AC37" i="1"/>
  <c r="H39" i="1"/>
  <c r="F39" i="1"/>
  <c r="AP38" i="1"/>
  <c r="BZ38" i="1"/>
  <c r="BM37" i="1"/>
  <c r="BP37" i="1"/>
  <c r="CF38" i="1"/>
  <c r="Y38" i="1"/>
  <c r="G39" i="1"/>
  <c r="BJ40" i="1"/>
  <c r="CP40" i="1"/>
  <c r="CB37" i="1"/>
  <c r="E40" i="1"/>
  <c r="Q37" i="1"/>
  <c r="J38" i="1"/>
  <c r="AZ38" i="1"/>
  <c r="BC40" i="1"/>
  <c r="M40" i="1"/>
  <c r="BC37" i="1"/>
  <c r="AE39" i="1"/>
  <c r="CD37" i="1"/>
  <c r="CA37" i="1"/>
  <c r="CX38" i="1"/>
  <c r="F37" i="1"/>
  <c r="BJ39" i="1"/>
  <c r="BW40" i="1"/>
  <c r="AK40" i="1"/>
  <c r="CC38" i="1"/>
  <c r="CM38" i="1"/>
  <c r="AN39" i="1"/>
  <c r="AW40" i="1"/>
  <c r="X38" i="1"/>
  <c r="AD38" i="1"/>
  <c r="F41" i="1" l="1"/>
  <c r="F42" i="1" s="1"/>
  <c r="F66" i="1" s="1"/>
  <c r="F79" i="1" s="1"/>
  <c r="CA41" i="1"/>
  <c r="CA42" i="1" s="1"/>
  <c r="CA67" i="1" s="1"/>
  <c r="CA80" i="1" s="1"/>
  <c r="CD41" i="1"/>
  <c r="CD42" i="1" s="1"/>
  <c r="CD67" i="1" s="1"/>
  <c r="CD80" i="1" s="1"/>
  <c r="BC41" i="1"/>
  <c r="BC42" i="1" s="1"/>
  <c r="BC67" i="1" s="1"/>
  <c r="BC80" i="1" s="1"/>
  <c r="Q41" i="1"/>
  <c r="Q42" i="1" s="1"/>
  <c r="Q67" i="1" s="1"/>
  <c r="Q80" i="1" s="1"/>
  <c r="CB41" i="1"/>
  <c r="CB42" i="1" s="1"/>
  <c r="CB67" i="1" s="1"/>
  <c r="CB80" i="1" s="1"/>
  <c r="BP41" i="1"/>
  <c r="BP42" i="1" s="1"/>
  <c r="BP67" i="1" s="1"/>
  <c r="BP80" i="1" s="1"/>
  <c r="BM41" i="1"/>
  <c r="BM42" i="1" s="1"/>
  <c r="BM66" i="1" s="1"/>
  <c r="BM79" i="1" s="1"/>
  <c r="AC41" i="1"/>
  <c r="AC42" i="1" s="1"/>
  <c r="AC66" i="1" s="1"/>
  <c r="AC79" i="1" s="1"/>
  <c r="Y41" i="1"/>
  <c r="Y42" i="1" s="1"/>
  <c r="Y67" i="1" s="1"/>
  <c r="Y80" i="1" s="1"/>
  <c r="BH41" i="1"/>
  <c r="BH42" i="1" s="1"/>
  <c r="BH67" i="1" s="1"/>
  <c r="BH80" i="1" s="1"/>
  <c r="BY41" i="1"/>
  <c r="BY42" i="1" s="1"/>
  <c r="BY67" i="1" s="1"/>
  <c r="BY80" i="1" s="1"/>
  <c r="J41" i="1"/>
  <c r="J42" i="1" s="1"/>
  <c r="J66" i="1" s="1"/>
  <c r="J79" i="1" s="1"/>
  <c r="J96" i="1" s="1"/>
  <c r="AG41" i="1"/>
  <c r="AG42" i="1" s="1"/>
  <c r="AG67" i="1" s="1"/>
  <c r="AG80" i="1" s="1"/>
  <c r="BD41" i="1"/>
  <c r="BD42" i="1" s="1"/>
  <c r="BD67" i="1" s="1"/>
  <c r="BD80" i="1" s="1"/>
  <c r="M41" i="1"/>
  <c r="M42" i="1" s="1"/>
  <c r="M67" i="1" s="1"/>
  <c r="M80" i="1" s="1"/>
  <c r="M97" i="1" s="1"/>
  <c r="BG41" i="1"/>
  <c r="BG42" i="1" s="1"/>
  <c r="BG66" i="1" s="1"/>
  <c r="BG79" i="1" s="1"/>
  <c r="AN41" i="1"/>
  <c r="AN42" i="1" s="1"/>
  <c r="AN66" i="1" s="1"/>
  <c r="AN79" i="1" s="1"/>
  <c r="BX41" i="1"/>
  <c r="BX42" i="1" s="1"/>
  <c r="BX67" i="1" s="1"/>
  <c r="BX80" i="1" s="1"/>
  <c r="BJ41" i="1"/>
  <c r="BJ42" i="1" s="1"/>
  <c r="BJ66" i="1" s="1"/>
  <c r="BJ79" i="1" s="1"/>
  <c r="BB41" i="1"/>
  <c r="BB42" i="1" s="1"/>
  <c r="BB67" i="1" s="1"/>
  <c r="BB80" i="1" s="1"/>
  <c r="BO41" i="1"/>
  <c r="BO42" i="1" s="1"/>
  <c r="BO67" i="1" s="1"/>
  <c r="BO80" i="1" s="1"/>
  <c r="BQ41" i="1"/>
  <c r="BQ42" i="1" s="1"/>
  <c r="BQ67" i="1" s="1"/>
  <c r="BQ80" i="1" s="1"/>
  <c r="AL41" i="1"/>
  <c r="AL42" i="1" s="1"/>
  <c r="AL67" i="1" s="1"/>
  <c r="AL80" i="1" s="1"/>
  <c r="CT41" i="1"/>
  <c r="CT42" i="1" s="1"/>
  <c r="CT67" i="1" s="1"/>
  <c r="CT80" i="1" s="1"/>
  <c r="CW41" i="1"/>
  <c r="CW42" i="1" s="1"/>
  <c r="CW66" i="1" s="1"/>
  <c r="CW79" i="1" s="1"/>
  <c r="AI41" i="1"/>
  <c r="AI42" i="1" s="1"/>
  <c r="AI66" i="1" s="1"/>
  <c r="AI79" i="1" s="1"/>
  <c r="CH41" i="1"/>
  <c r="CH42" i="1" s="1"/>
  <c r="CH67" i="1" s="1"/>
  <c r="CH80" i="1" s="1"/>
  <c r="CQ41" i="1"/>
  <c r="CQ42" i="1" s="1"/>
  <c r="CQ66" i="1" s="1"/>
  <c r="CQ79" i="1" s="1"/>
  <c r="AH41" i="1"/>
  <c r="AH42" i="1" s="1"/>
  <c r="AH66" i="1" s="1"/>
  <c r="AH79" i="1" s="1"/>
  <c r="AY41" i="1"/>
  <c r="AY42" i="1" s="1"/>
  <c r="AY67" i="1" s="1"/>
  <c r="AY80" i="1" s="1"/>
  <c r="D41" i="1"/>
  <c r="D42" i="1" s="1"/>
  <c r="D66" i="1" s="1"/>
  <c r="D79" i="1" s="1"/>
  <c r="D96" i="1" s="1"/>
  <c r="C37" i="1"/>
  <c r="CN41" i="1"/>
  <c r="CN42" i="1" s="1"/>
  <c r="CN66" i="1" s="1"/>
  <c r="CN79" i="1" s="1"/>
  <c r="AS41" i="1"/>
  <c r="AS42" i="1" s="1"/>
  <c r="AS66" i="1" s="1"/>
  <c r="AS79" i="1" s="1"/>
  <c r="O41" i="1"/>
  <c r="O42" i="1" s="1"/>
  <c r="O67" i="1" s="1"/>
  <c r="O80" i="1" s="1"/>
  <c r="T41" i="1"/>
  <c r="T42" i="1" s="1"/>
  <c r="T67" i="1" s="1"/>
  <c r="T80" i="1" s="1"/>
  <c r="X41" i="1"/>
  <c r="X42" i="1" s="1"/>
  <c r="X67" i="1" s="1"/>
  <c r="X80" i="1" s="1"/>
  <c r="L41" i="1"/>
  <c r="L42" i="1" s="1"/>
  <c r="L67" i="1" s="1"/>
  <c r="L80" i="1" s="1"/>
  <c r="CS41" i="1"/>
  <c r="CS42" i="1" s="1"/>
  <c r="CS67" i="1" s="1"/>
  <c r="CS80" i="1" s="1"/>
  <c r="AV41" i="1"/>
  <c r="AV42" i="1" s="1"/>
  <c r="AV66" i="1" s="1"/>
  <c r="AV79" i="1" s="1"/>
  <c r="CX41" i="1"/>
  <c r="CX42" i="1" s="1"/>
  <c r="CX66" i="1" s="1"/>
  <c r="CX79" i="1" s="1"/>
  <c r="CO41" i="1"/>
  <c r="CO42" i="1" s="1"/>
  <c r="CO66" i="1" s="1"/>
  <c r="CO79" i="1" s="1"/>
  <c r="U41" i="1"/>
  <c r="U42" i="1" s="1"/>
  <c r="U67" i="1" s="1"/>
  <c r="U80" i="1" s="1"/>
  <c r="BI41" i="1"/>
  <c r="BI42" i="1" s="1"/>
  <c r="BI67" i="1" s="1"/>
  <c r="BI80" i="1" s="1"/>
  <c r="AF41" i="1"/>
  <c r="AF42" i="1" s="1"/>
  <c r="AF66" i="1" s="1"/>
  <c r="AF79" i="1" s="1"/>
  <c r="Z41" i="1"/>
  <c r="Z42" i="1" s="1"/>
  <c r="Z66" i="1" s="1"/>
  <c r="Z79" i="1" s="1"/>
  <c r="BT41" i="1"/>
  <c r="BT42" i="1" s="1"/>
  <c r="BT66" i="1" s="1"/>
  <c r="BT79" i="1" s="1"/>
  <c r="AX41" i="1"/>
  <c r="AX42" i="1" s="1"/>
  <c r="AX66" i="1" s="1"/>
  <c r="AX79" i="1" s="1"/>
  <c r="S41" i="1"/>
  <c r="S42" i="1" s="1"/>
  <c r="S67" i="1" s="1"/>
  <c r="S80" i="1" s="1"/>
  <c r="CE41" i="1"/>
  <c r="CE42" i="1" s="1"/>
  <c r="CE67" i="1" s="1"/>
  <c r="CE80" i="1" s="1"/>
  <c r="AW41" i="1"/>
  <c r="AW42" i="1" s="1"/>
  <c r="AW67" i="1" s="1"/>
  <c r="AW80" i="1" s="1"/>
  <c r="I41" i="1"/>
  <c r="I42" i="1" s="1"/>
  <c r="I67" i="1" s="1"/>
  <c r="I80" i="1" s="1"/>
  <c r="I97" i="1" s="1"/>
  <c r="AQ41" i="1"/>
  <c r="AQ42" i="1" s="1"/>
  <c r="AQ66" i="1" s="1"/>
  <c r="AQ79" i="1" s="1"/>
  <c r="CR41" i="1"/>
  <c r="CR42" i="1" s="1"/>
  <c r="CR67" i="1" s="1"/>
  <c r="CR80" i="1" s="1"/>
  <c r="AM41" i="1"/>
  <c r="AM42" i="1" s="1"/>
  <c r="AM67" i="1" s="1"/>
  <c r="AM80" i="1" s="1"/>
  <c r="BA41" i="1"/>
  <c r="BA42" i="1" s="1"/>
  <c r="BA66" i="1" s="1"/>
  <c r="BA79" i="1" s="1"/>
  <c r="AZ41" i="1"/>
  <c r="AZ42" i="1" s="1"/>
  <c r="AZ66" i="1" s="1"/>
  <c r="AZ79" i="1" s="1"/>
  <c r="CV41" i="1"/>
  <c r="CV42" i="1" s="1"/>
  <c r="CV66" i="1" s="1"/>
  <c r="CV79" i="1" s="1"/>
  <c r="CJ41" i="1"/>
  <c r="CJ42" i="1" s="1"/>
  <c r="CJ67" i="1" s="1"/>
  <c r="CJ80" i="1" s="1"/>
  <c r="CG41" i="1"/>
  <c r="CG42" i="1" s="1"/>
  <c r="CG66" i="1" s="1"/>
  <c r="CG79" i="1" s="1"/>
  <c r="C39" i="1"/>
  <c r="CU41" i="1"/>
  <c r="CU42" i="1" s="1"/>
  <c r="CU66" i="1" s="1"/>
  <c r="CU79" i="1" s="1"/>
  <c r="CC41" i="1"/>
  <c r="CC42" i="1" s="1"/>
  <c r="CC67" i="1" s="1"/>
  <c r="CC80" i="1" s="1"/>
  <c r="CI41" i="1"/>
  <c r="CI42" i="1" s="1"/>
  <c r="CI66" i="1" s="1"/>
  <c r="CI79" i="1" s="1"/>
  <c r="C40" i="1"/>
  <c r="BU41" i="1"/>
  <c r="BU42" i="1" s="1"/>
  <c r="BU66" i="1" s="1"/>
  <c r="BU79" i="1" s="1"/>
  <c r="AD41" i="1"/>
  <c r="AD42" i="1" s="1"/>
  <c r="AD66" i="1" s="1"/>
  <c r="AD79" i="1" s="1"/>
  <c r="AU41" i="1"/>
  <c r="AU42" i="1" s="1"/>
  <c r="AU67" i="1" s="1"/>
  <c r="AU80" i="1" s="1"/>
  <c r="AO41" i="1"/>
  <c r="AO42" i="1" s="1"/>
  <c r="AO66" i="1" s="1"/>
  <c r="AO79" i="1" s="1"/>
  <c r="CY41" i="1"/>
  <c r="CY42" i="1" s="1"/>
  <c r="CY66" i="1" s="1"/>
  <c r="CY79" i="1" s="1"/>
  <c r="AJ41" i="1"/>
  <c r="AJ42" i="1" s="1"/>
  <c r="AJ66" i="1" s="1"/>
  <c r="AJ79" i="1" s="1"/>
  <c r="K41" i="1"/>
  <c r="K42" i="1" s="1"/>
  <c r="K67" i="1" s="1"/>
  <c r="K80" i="1" s="1"/>
  <c r="K97" i="1" s="1"/>
  <c r="W41" i="1"/>
  <c r="W42" i="1" s="1"/>
  <c r="W66" i="1" s="1"/>
  <c r="W79" i="1" s="1"/>
  <c r="BV41" i="1"/>
  <c r="BV42" i="1" s="1"/>
  <c r="BV67" i="1" s="1"/>
  <c r="BV80" i="1" s="1"/>
  <c r="CK41" i="1"/>
  <c r="CK42" i="1" s="1"/>
  <c r="CK67" i="1" s="1"/>
  <c r="CK80" i="1" s="1"/>
  <c r="C38" i="1"/>
  <c r="BZ41" i="1"/>
  <c r="BZ42" i="1" s="1"/>
  <c r="BZ66" i="1" s="1"/>
  <c r="BZ79" i="1" s="1"/>
  <c r="BR41" i="1"/>
  <c r="BR42" i="1" s="1"/>
  <c r="BR67" i="1" s="1"/>
  <c r="BR80" i="1" s="1"/>
  <c r="AK41" i="1"/>
  <c r="AK42" i="1" s="1"/>
  <c r="AK67" i="1" s="1"/>
  <c r="AK80" i="1" s="1"/>
  <c r="N41" i="1"/>
  <c r="N42" i="1" s="1"/>
  <c r="N67" i="1" s="1"/>
  <c r="N80" i="1" s="1"/>
  <c r="N97" i="1" s="1"/>
  <c r="H41" i="1"/>
  <c r="H42" i="1" s="1"/>
  <c r="H66" i="1" s="1"/>
  <c r="H79" i="1" s="1"/>
  <c r="AR41" i="1"/>
  <c r="AR42" i="1" s="1"/>
  <c r="AR66" i="1" s="1"/>
  <c r="AR79" i="1" s="1"/>
  <c r="R41" i="1"/>
  <c r="R42" i="1" s="1"/>
  <c r="R66" i="1" s="1"/>
  <c r="R79" i="1" s="1"/>
  <c r="R96" i="1" s="1"/>
  <c r="AA41" i="1"/>
  <c r="AA42" i="1" s="1"/>
  <c r="AA67" i="1" s="1"/>
  <c r="AA80" i="1" s="1"/>
  <c r="P41" i="1"/>
  <c r="P42" i="1" s="1"/>
  <c r="P66" i="1" s="1"/>
  <c r="P79" i="1" s="1"/>
  <c r="P96" i="1" s="1"/>
  <c r="BE41" i="1"/>
  <c r="BE42" i="1" s="1"/>
  <c r="BE67" i="1" s="1"/>
  <c r="BE80" i="1" s="1"/>
  <c r="BS41" i="1"/>
  <c r="BS42" i="1" s="1"/>
  <c r="BS66" i="1" s="1"/>
  <c r="BS79" i="1" s="1"/>
  <c r="CL41" i="1"/>
  <c r="CL42" i="1" s="1"/>
  <c r="CL67" i="1" s="1"/>
  <c r="CL80" i="1" s="1"/>
  <c r="AP41" i="1"/>
  <c r="AP42" i="1" s="1"/>
  <c r="AP66" i="1" s="1"/>
  <c r="AP79" i="1" s="1"/>
  <c r="BL41" i="1"/>
  <c r="BL42" i="1" s="1"/>
  <c r="BL66" i="1" s="1"/>
  <c r="BL79" i="1" s="1"/>
  <c r="BK41" i="1"/>
  <c r="BK42" i="1" s="1"/>
  <c r="BK66" i="1" s="1"/>
  <c r="BK79" i="1" s="1"/>
  <c r="AT41" i="1"/>
  <c r="AT42" i="1" s="1"/>
  <c r="AT67" i="1" s="1"/>
  <c r="AT80" i="1" s="1"/>
  <c r="BN41" i="1"/>
  <c r="BN42" i="1" s="1"/>
  <c r="BN66" i="1" s="1"/>
  <c r="BN79" i="1" s="1"/>
  <c r="CP41" i="1"/>
  <c r="CP42" i="1" s="1"/>
  <c r="CP67" i="1" s="1"/>
  <c r="CP80" i="1" s="1"/>
  <c r="G41" i="1"/>
  <c r="G42" i="1" s="1"/>
  <c r="G67" i="1" s="1"/>
  <c r="G80" i="1" s="1"/>
  <c r="G97" i="1" s="1"/>
  <c r="BF41" i="1"/>
  <c r="BF42" i="1" s="1"/>
  <c r="BF67" i="1" s="1"/>
  <c r="BF80" i="1" s="1"/>
  <c r="CF41" i="1"/>
  <c r="CF42" i="1" s="1"/>
  <c r="CF67" i="1" s="1"/>
  <c r="CF80" i="1" s="1"/>
  <c r="AB41" i="1"/>
  <c r="AB42" i="1" s="1"/>
  <c r="AB66" i="1" s="1"/>
  <c r="AB79" i="1" s="1"/>
  <c r="AE41" i="1"/>
  <c r="AE42" i="1" s="1"/>
  <c r="AE66" i="1" s="1"/>
  <c r="AE79" i="1" s="1"/>
  <c r="CM41" i="1"/>
  <c r="CM42" i="1" s="1"/>
  <c r="CM67" i="1" s="1"/>
  <c r="CM80" i="1" s="1"/>
  <c r="BW41" i="1"/>
  <c r="BW42" i="1" s="1"/>
  <c r="BW67" i="1" s="1"/>
  <c r="BW80" i="1" s="1"/>
  <c r="E41" i="1"/>
  <c r="E42" i="1" s="1"/>
  <c r="E66" i="1" s="1"/>
  <c r="E79" i="1" s="1"/>
  <c r="E96" i="1" s="1"/>
  <c r="V41" i="1"/>
  <c r="V42" i="1" s="1"/>
  <c r="V66" i="1" s="1"/>
  <c r="V79" i="1" s="1"/>
  <c r="U59" i="1"/>
  <c r="U91" i="1" s="1"/>
  <c r="U58" i="1"/>
  <c r="U60" i="1"/>
  <c r="BH66" i="1"/>
  <c r="BH79" i="1" s="1"/>
  <c r="O97" i="1"/>
  <c r="F96" i="1"/>
  <c r="L97" i="1"/>
  <c r="O66" i="1"/>
  <c r="O79" i="1" s="1"/>
  <c r="CE66" i="1"/>
  <c r="CE79" i="1" s="1"/>
  <c r="CT66" i="1"/>
  <c r="CT79" i="1" s="1"/>
  <c r="Q97" i="1"/>
  <c r="Y66" i="1"/>
  <c r="Y79" i="1" s="1"/>
  <c r="F72" i="1"/>
  <c r="CW67" i="1"/>
  <c r="CW80" i="1" s="1"/>
  <c r="BK67" i="1"/>
  <c r="BK80" i="1" s="1"/>
  <c r="CX67" i="1"/>
  <c r="CX80" i="1" s="1"/>
  <c r="Q73" i="1"/>
  <c r="CG67" i="1"/>
  <c r="CG80" i="1" s="1"/>
  <c r="CJ66" i="1"/>
  <c r="CJ79" i="1" s="1"/>
  <c r="AU66" i="1"/>
  <c r="AU79" i="1" s="1"/>
  <c r="N73" i="1"/>
  <c r="AN67" i="1"/>
  <c r="AN80" i="1" s="1"/>
  <c r="CO67" i="1"/>
  <c r="CO80" i="1" s="1"/>
  <c r="CN67" i="1"/>
  <c r="CN80" i="1" s="1"/>
  <c r="H67" i="1"/>
  <c r="H80" i="1" s="1"/>
  <c r="BF66" i="1"/>
  <c r="BF79" i="1" s="1"/>
  <c r="BY66" i="1"/>
  <c r="BY79" i="1" s="1"/>
  <c r="I66" i="1"/>
  <c r="I79" i="1" s="1"/>
  <c r="CD66" i="1"/>
  <c r="CD79" i="1" s="1"/>
  <c r="AC67" i="1"/>
  <c r="AC80" i="1" s="1"/>
  <c r="AJ67" i="1"/>
  <c r="AJ80" i="1" s="1"/>
  <c r="CI67" i="1"/>
  <c r="CI80" i="1" s="1"/>
  <c r="BL67" i="1"/>
  <c r="BL80" i="1" s="1"/>
  <c r="BG67" i="1"/>
  <c r="BG80" i="1" s="1"/>
  <c r="F67" i="1"/>
  <c r="F80" i="1" s="1"/>
  <c r="AS67" i="1"/>
  <c r="AS80" i="1" s="1"/>
  <c r="J72" i="1"/>
  <c r="CH66" i="1"/>
  <c r="CH79" i="1" s="1"/>
  <c r="CP66" i="1"/>
  <c r="CP79" i="1" s="1"/>
  <c r="AB67" i="1"/>
  <c r="AB80" i="1" s="1"/>
  <c r="BV66" i="1"/>
  <c r="BV79" i="1" s="1"/>
  <c r="S70" i="1"/>
  <c r="S94" i="1" s="1"/>
  <c r="S69" i="1"/>
  <c r="S93" i="1" s="1"/>
  <c r="T61" i="1"/>
  <c r="T62" i="1" s="1"/>
  <c r="U92" i="1"/>
  <c r="U87" i="1"/>
  <c r="V2" i="1"/>
  <c r="U90" i="1"/>
  <c r="CV67" i="1" l="1"/>
  <c r="CV80" i="1" s="1"/>
  <c r="CK66" i="1"/>
  <c r="CK79" i="1" s="1"/>
  <c r="BJ67" i="1"/>
  <c r="BJ80" i="1" s="1"/>
  <c r="S66" i="1"/>
  <c r="S79" i="1" s="1"/>
  <c r="O73" i="1"/>
  <c r="AR67" i="1"/>
  <c r="AR80" i="1" s="1"/>
  <c r="BC66" i="1"/>
  <c r="BC79" i="1" s="1"/>
  <c r="AZ67" i="1"/>
  <c r="AZ80" i="1" s="1"/>
  <c r="N66" i="1"/>
  <c r="N79" i="1" s="1"/>
  <c r="AP67" i="1"/>
  <c r="AP80" i="1" s="1"/>
  <c r="R72" i="1"/>
  <c r="H72" i="1"/>
  <c r="BX66" i="1"/>
  <c r="BX79" i="1" s="1"/>
  <c r="AI67" i="1"/>
  <c r="AI80" i="1" s="1"/>
  <c r="BU67" i="1"/>
  <c r="BU80" i="1" s="1"/>
  <c r="CF66" i="1"/>
  <c r="CF79" i="1" s="1"/>
  <c r="AE67" i="1"/>
  <c r="AE80" i="1" s="1"/>
  <c r="C41" i="1"/>
  <c r="C42" i="1" s="1"/>
  <c r="AW66" i="1"/>
  <c r="AW79" i="1" s="1"/>
  <c r="R67" i="1"/>
  <c r="R80" i="1" s="1"/>
  <c r="AD67" i="1"/>
  <c r="AD80" i="1" s="1"/>
  <c r="U66" i="1"/>
  <c r="U79" i="1" s="1"/>
  <c r="CA66" i="1"/>
  <c r="CA79" i="1" s="1"/>
  <c r="CM66" i="1"/>
  <c r="CM79" i="1" s="1"/>
  <c r="K66" i="1"/>
  <c r="K79" i="1" s="1"/>
  <c r="T66" i="1"/>
  <c r="T79" i="1" s="1"/>
  <c r="AA66" i="1"/>
  <c r="AA79" i="1" s="1"/>
  <c r="BB66" i="1"/>
  <c r="BB79" i="1" s="1"/>
  <c r="J67" i="1"/>
  <c r="J80" i="1" s="1"/>
  <c r="J97" i="1" s="1"/>
  <c r="K73" i="1"/>
  <c r="CL66" i="1"/>
  <c r="CL79" i="1" s="1"/>
  <c r="BA67" i="1"/>
  <c r="BA80" i="1" s="1"/>
  <c r="AT66" i="1"/>
  <c r="AT79" i="1" s="1"/>
  <c r="AV67" i="1"/>
  <c r="AV80" i="1" s="1"/>
  <c r="W67" i="1"/>
  <c r="W80" i="1" s="1"/>
  <c r="CQ67" i="1"/>
  <c r="CQ80" i="1" s="1"/>
  <c r="Q66" i="1"/>
  <c r="Q79" i="1" s="1"/>
  <c r="Q96" i="1" s="1"/>
  <c r="I73" i="1"/>
  <c r="AX67" i="1"/>
  <c r="AX80" i="1" s="1"/>
  <c r="BI66" i="1"/>
  <c r="BI79" i="1" s="1"/>
  <c r="BO66" i="1"/>
  <c r="BO79" i="1" s="1"/>
  <c r="AQ67" i="1"/>
  <c r="AQ80" i="1" s="1"/>
  <c r="BW66" i="1"/>
  <c r="BW79" i="1" s="1"/>
  <c r="AO67" i="1"/>
  <c r="AO80" i="1" s="1"/>
  <c r="X66" i="1"/>
  <c r="X79" i="1" s="1"/>
  <c r="AM66" i="1"/>
  <c r="AM79" i="1" s="1"/>
  <c r="BM67" i="1"/>
  <c r="BM80" i="1" s="1"/>
  <c r="L66" i="1"/>
  <c r="L79" i="1" s="1"/>
  <c r="L96" i="1" s="1"/>
  <c r="AY66" i="1"/>
  <c r="AY79" i="1" s="1"/>
  <c r="CU67" i="1"/>
  <c r="CU80" i="1" s="1"/>
  <c r="P67" i="1"/>
  <c r="P80" i="1" s="1"/>
  <c r="P97" i="1" s="1"/>
  <c r="BQ66" i="1"/>
  <c r="BQ79" i="1" s="1"/>
  <c r="CB66" i="1"/>
  <c r="CB79" i="1" s="1"/>
  <c r="M73" i="1"/>
  <c r="BR66" i="1"/>
  <c r="BR79" i="1" s="1"/>
  <c r="L73" i="1"/>
  <c r="BZ67" i="1"/>
  <c r="BZ80" i="1" s="1"/>
  <c r="G73" i="1"/>
  <c r="D72" i="1"/>
  <c r="E67" i="1"/>
  <c r="E80" i="1" s="1"/>
  <c r="E97" i="1" s="1"/>
  <c r="Z67" i="1"/>
  <c r="Z80" i="1" s="1"/>
  <c r="E72" i="1"/>
  <c r="BP66" i="1"/>
  <c r="BP79" i="1" s="1"/>
  <c r="BD66" i="1"/>
  <c r="BD79" i="1" s="1"/>
  <c r="CC66" i="1"/>
  <c r="CC79" i="1" s="1"/>
  <c r="G66" i="1"/>
  <c r="G79" i="1" s="1"/>
  <c r="AH67" i="1"/>
  <c r="AH80" i="1" s="1"/>
  <c r="AL66" i="1"/>
  <c r="AL79" i="1" s="1"/>
  <c r="BN67" i="1"/>
  <c r="BN80" i="1" s="1"/>
  <c r="CS66" i="1"/>
  <c r="CS79" i="1" s="1"/>
  <c r="D67" i="1"/>
  <c r="D80" i="1" s="1"/>
  <c r="D97" i="1" s="1"/>
  <c r="P72" i="1"/>
  <c r="CY67" i="1"/>
  <c r="CY80" i="1" s="1"/>
  <c r="AF67" i="1"/>
  <c r="AF80" i="1" s="1"/>
  <c r="V67" i="1"/>
  <c r="V80" i="1" s="1"/>
  <c r="BE66" i="1"/>
  <c r="BE79" i="1" s="1"/>
  <c r="BT67" i="1"/>
  <c r="BT80" i="1" s="1"/>
  <c r="CR66" i="1"/>
  <c r="CR79" i="1" s="1"/>
  <c r="M66" i="1"/>
  <c r="M79" i="1" s="1"/>
  <c r="M96" i="1" s="1"/>
  <c r="AG66" i="1"/>
  <c r="AG79" i="1" s="1"/>
  <c r="BS67" i="1"/>
  <c r="BS80" i="1" s="1"/>
  <c r="AK66" i="1"/>
  <c r="AK79" i="1" s="1"/>
  <c r="V59" i="1"/>
  <c r="V60" i="1"/>
  <c r="V58" i="1"/>
  <c r="V90" i="1" s="1"/>
  <c r="N96" i="1"/>
  <c r="O96" i="1"/>
  <c r="G96" i="1"/>
  <c r="H97" i="1"/>
  <c r="F97" i="1"/>
  <c r="I72" i="1"/>
  <c r="I96" i="1"/>
  <c r="K96" i="1"/>
  <c r="O72" i="1"/>
  <c r="D73" i="1"/>
  <c r="N72" i="1"/>
  <c r="G72" i="1"/>
  <c r="H73" i="1"/>
  <c r="P73" i="1"/>
  <c r="K72" i="1"/>
  <c r="L72" i="1"/>
  <c r="R73" i="1"/>
  <c r="E73" i="1"/>
  <c r="R97" i="1"/>
  <c r="F73" i="1"/>
  <c r="H96" i="1"/>
  <c r="U61" i="1"/>
  <c r="U62" i="1" s="1"/>
  <c r="S97" i="1"/>
  <c r="S73" i="1"/>
  <c r="W2" i="1"/>
  <c r="V87" i="1"/>
  <c r="V92" i="1"/>
  <c r="V91" i="1"/>
  <c r="T69" i="1"/>
  <c r="T93" i="1" s="1"/>
  <c r="T70" i="1"/>
  <c r="T94" i="1" s="1"/>
  <c r="S96" i="1"/>
  <c r="S72" i="1"/>
  <c r="J73" i="1" l="1"/>
  <c r="Q72" i="1"/>
  <c r="C66" i="1"/>
  <c r="M72" i="1"/>
  <c r="C67" i="1"/>
  <c r="W60" i="1"/>
  <c r="W59" i="1"/>
  <c r="W58" i="1"/>
  <c r="W90" i="1" s="1"/>
  <c r="C79" i="1"/>
  <c r="C80" i="1"/>
  <c r="T97" i="1"/>
  <c r="T73" i="1"/>
  <c r="T96" i="1"/>
  <c r="T72" i="1"/>
  <c r="U70" i="1"/>
  <c r="U94" i="1" s="1"/>
  <c r="U69" i="1"/>
  <c r="U93" i="1" s="1"/>
  <c r="V61" i="1"/>
  <c r="V62" i="1" s="1"/>
  <c r="W87" i="1"/>
  <c r="W92" i="1"/>
  <c r="X2" i="1"/>
  <c r="W91" i="1"/>
  <c r="X60" i="1" l="1"/>
  <c r="X92" i="1" s="1"/>
  <c r="X59" i="1"/>
  <c r="X58" i="1"/>
  <c r="V69" i="1"/>
  <c r="V93" i="1" s="1"/>
  <c r="V70" i="1"/>
  <c r="V94" i="1" s="1"/>
  <c r="X90" i="1"/>
  <c r="X91" i="1"/>
  <c r="X87" i="1"/>
  <c r="Y2" i="1"/>
  <c r="U96" i="1"/>
  <c r="U72" i="1"/>
  <c r="W61" i="1"/>
  <c r="W62" i="1" s="1"/>
  <c r="U97" i="1"/>
  <c r="U73" i="1"/>
  <c r="Y58" i="1" l="1"/>
  <c r="Y90" i="1" s="1"/>
  <c r="Y60" i="1"/>
  <c r="Y59" i="1"/>
  <c r="Y91" i="1" s="1"/>
  <c r="Z2" i="1"/>
  <c r="Y92" i="1"/>
  <c r="Y87" i="1"/>
  <c r="V97" i="1"/>
  <c r="V73" i="1"/>
  <c r="W70" i="1"/>
  <c r="W94" i="1" s="1"/>
  <c r="W69" i="1"/>
  <c r="W93" i="1" s="1"/>
  <c r="X61" i="1"/>
  <c r="X62" i="1" s="1"/>
  <c r="V96" i="1"/>
  <c r="V72" i="1"/>
  <c r="Z58" i="1" l="1"/>
  <c r="Z90" i="1" s="1"/>
  <c r="Z60" i="1"/>
  <c r="Z92" i="1" s="1"/>
  <c r="Z59" i="1"/>
  <c r="Z91" i="1" s="1"/>
  <c r="W97" i="1"/>
  <c r="W73" i="1"/>
  <c r="X69" i="1"/>
  <c r="X93" i="1" s="1"/>
  <c r="X70" i="1"/>
  <c r="X94" i="1" s="1"/>
  <c r="AA2" i="1"/>
  <c r="Z87" i="1"/>
  <c r="W96" i="1"/>
  <c r="W72" i="1"/>
  <c r="Y61" i="1"/>
  <c r="Y62" i="1" s="1"/>
  <c r="AA58" i="1" l="1"/>
  <c r="AA60" i="1"/>
  <c r="AA59" i="1"/>
  <c r="Z61" i="1"/>
  <c r="Z62" i="1" s="1"/>
  <c r="X97" i="1"/>
  <c r="X73" i="1"/>
  <c r="X96" i="1"/>
  <c r="X72" i="1"/>
  <c r="Y69" i="1"/>
  <c r="Y93" i="1" s="1"/>
  <c r="Y70" i="1"/>
  <c r="Y94" i="1" s="1"/>
  <c r="AB2" i="1"/>
  <c r="AA92" i="1"/>
  <c r="AA87" i="1"/>
  <c r="AA90" i="1"/>
  <c r="AA91" i="1"/>
  <c r="AB59" i="1" l="1"/>
  <c r="AB58" i="1"/>
  <c r="AB90" i="1" s="1"/>
  <c r="AB60" i="1"/>
  <c r="AB92" i="1" s="1"/>
  <c r="Y97" i="1"/>
  <c r="Y73" i="1"/>
  <c r="AA61" i="1"/>
  <c r="AA62" i="1" s="1"/>
  <c r="Y96" i="1"/>
  <c r="Y72" i="1"/>
  <c r="Z70" i="1"/>
  <c r="Z94" i="1" s="1"/>
  <c r="Z69" i="1"/>
  <c r="Z93" i="1" s="1"/>
  <c r="AC2" i="1"/>
  <c r="AB87" i="1"/>
  <c r="AB91" i="1"/>
  <c r="AC59" i="1" l="1"/>
  <c r="AC58" i="1"/>
  <c r="AC60" i="1"/>
  <c r="AC92" i="1" s="1"/>
  <c r="AB61" i="1"/>
  <c r="AB62" i="1" s="1"/>
  <c r="Z72" i="1"/>
  <c r="Z96" i="1"/>
  <c r="AA70" i="1"/>
  <c r="AA94" i="1" s="1"/>
  <c r="AA69" i="1"/>
  <c r="AA93" i="1" s="1"/>
  <c r="Z97" i="1"/>
  <c r="Z73" i="1"/>
  <c r="AC90" i="1"/>
  <c r="AC91" i="1"/>
  <c r="AC87" i="1"/>
  <c r="AD2" i="1"/>
  <c r="AD59" i="1" l="1"/>
  <c r="AD91" i="1" s="1"/>
  <c r="AD58" i="1"/>
  <c r="AD90" i="1" s="1"/>
  <c r="AD60" i="1"/>
  <c r="AD92" i="1" s="1"/>
  <c r="AC61" i="1"/>
  <c r="AC62" i="1" s="1"/>
  <c r="AA96" i="1"/>
  <c r="AA72" i="1"/>
  <c r="AB69" i="1"/>
  <c r="AB93" i="1" s="1"/>
  <c r="AB70" i="1"/>
  <c r="AB94" i="1" s="1"/>
  <c r="AD87" i="1"/>
  <c r="AE2" i="1"/>
  <c r="AA97" i="1"/>
  <c r="AA73" i="1"/>
  <c r="AE60" i="1" l="1"/>
  <c r="AE59" i="1"/>
  <c r="AE58" i="1"/>
  <c r="AE90" i="1" s="1"/>
  <c r="AD61" i="1"/>
  <c r="AD62" i="1" s="1"/>
  <c r="AB97" i="1"/>
  <c r="AB73" i="1"/>
  <c r="AC69" i="1"/>
  <c r="AC93" i="1" s="1"/>
  <c r="AC70" i="1"/>
  <c r="AC94" i="1" s="1"/>
  <c r="AE92" i="1"/>
  <c r="AE87" i="1"/>
  <c r="AF2" i="1"/>
  <c r="AE91" i="1"/>
  <c r="AB96" i="1"/>
  <c r="AB72" i="1"/>
  <c r="AF60" i="1" l="1"/>
  <c r="AF59" i="1"/>
  <c r="AF58" i="1"/>
  <c r="AF90" i="1" s="1"/>
  <c r="AF92" i="1"/>
  <c r="AG2" i="1"/>
  <c r="AF91" i="1"/>
  <c r="AF87" i="1"/>
  <c r="AC73" i="1"/>
  <c r="AC97" i="1"/>
  <c r="AD70" i="1"/>
  <c r="AD94" i="1" s="1"/>
  <c r="AD69" i="1"/>
  <c r="AD93" i="1" s="1"/>
  <c r="AE61" i="1"/>
  <c r="AE62" i="1" s="1"/>
  <c r="AC96" i="1"/>
  <c r="AC72" i="1"/>
  <c r="AG58" i="1" l="1"/>
  <c r="AG90" i="1" s="1"/>
  <c r="AG60" i="1"/>
  <c r="AG92" i="1" s="1"/>
  <c r="AG59" i="1"/>
  <c r="AD97" i="1"/>
  <c r="AD73" i="1"/>
  <c r="AE69" i="1"/>
  <c r="AE93" i="1" s="1"/>
  <c r="AE70" i="1"/>
  <c r="AE94" i="1" s="1"/>
  <c r="AG91" i="1"/>
  <c r="AH2" i="1"/>
  <c r="AG87" i="1"/>
  <c r="AD96" i="1"/>
  <c r="AD72" i="1"/>
  <c r="AF61" i="1"/>
  <c r="AF62" i="1" s="1"/>
  <c r="AH58" i="1" l="1"/>
  <c r="AH90" i="1" s="1"/>
  <c r="AH60" i="1"/>
  <c r="AH92" i="1" s="1"/>
  <c r="AH59" i="1"/>
  <c r="AE97" i="1"/>
  <c r="AE73" i="1"/>
  <c r="AF69" i="1"/>
  <c r="AF93" i="1" s="1"/>
  <c r="AF70" i="1"/>
  <c r="AF94" i="1" s="1"/>
  <c r="AG61" i="1"/>
  <c r="AG62" i="1" s="1"/>
  <c r="AE96" i="1"/>
  <c r="AE72" i="1"/>
  <c r="AI2" i="1"/>
  <c r="AH87" i="1"/>
  <c r="AH91" i="1"/>
  <c r="AI58" i="1" l="1"/>
  <c r="AI90" i="1" s="1"/>
  <c r="AI60" i="1"/>
  <c r="AI59" i="1"/>
  <c r="AF97" i="1"/>
  <c r="AF73" i="1"/>
  <c r="AH61" i="1"/>
  <c r="AH62" i="1" s="1"/>
  <c r="AF96" i="1"/>
  <c r="AF72" i="1"/>
  <c r="AG70" i="1"/>
  <c r="AG94" i="1" s="1"/>
  <c r="AG69" i="1"/>
  <c r="AG93" i="1" s="1"/>
  <c r="AI92" i="1"/>
  <c r="AI91" i="1"/>
  <c r="AI87" i="1"/>
  <c r="AJ2" i="1"/>
  <c r="AJ59" i="1" l="1"/>
  <c r="AJ58" i="1"/>
  <c r="AJ60" i="1"/>
  <c r="AJ92" i="1" s="1"/>
  <c r="AH69" i="1"/>
  <c r="AH93" i="1" s="1"/>
  <c r="AH70" i="1"/>
  <c r="AH94" i="1" s="1"/>
  <c r="AI61" i="1"/>
  <c r="AI62" i="1" s="1"/>
  <c r="AG96" i="1"/>
  <c r="AG72" i="1"/>
  <c r="AG97" i="1"/>
  <c r="AG73" i="1"/>
  <c r="AJ87" i="1"/>
  <c r="AK2" i="1"/>
  <c r="AJ91" i="1"/>
  <c r="AJ90" i="1"/>
  <c r="AK59" i="1" l="1"/>
  <c r="AK58" i="1"/>
  <c r="AK60" i="1"/>
  <c r="AK92" i="1" s="1"/>
  <c r="AI69" i="1"/>
  <c r="AI93" i="1" s="1"/>
  <c r="AI70" i="1"/>
  <c r="AI94" i="1" s="1"/>
  <c r="AK90" i="1"/>
  <c r="AK87" i="1"/>
  <c r="AL2" i="1"/>
  <c r="AK91" i="1"/>
  <c r="AH97" i="1"/>
  <c r="AH73" i="1"/>
  <c r="AJ61" i="1"/>
  <c r="AJ62" i="1" s="1"/>
  <c r="AH96" i="1"/>
  <c r="AH72" i="1"/>
  <c r="AL59" i="1" l="1"/>
  <c r="AL91" i="1" s="1"/>
  <c r="AL58" i="1"/>
  <c r="AL90" i="1" s="1"/>
  <c r="AL60" i="1"/>
  <c r="AL92" i="1" s="1"/>
  <c r="AJ70" i="1"/>
  <c r="AJ94" i="1" s="1"/>
  <c r="AJ69" i="1"/>
  <c r="AJ93" i="1" s="1"/>
  <c r="AI73" i="1"/>
  <c r="AI97" i="1"/>
  <c r="AK61" i="1"/>
  <c r="AK62" i="1" s="1"/>
  <c r="AM2" i="1"/>
  <c r="AL87" i="1"/>
  <c r="AI96" i="1"/>
  <c r="AI72" i="1"/>
  <c r="AM60" i="1" l="1"/>
  <c r="AM92" i="1" s="1"/>
  <c r="AM59" i="1"/>
  <c r="AM58" i="1"/>
  <c r="AM90" i="1" s="1"/>
  <c r="AM87" i="1"/>
  <c r="AN2" i="1"/>
  <c r="AM91" i="1"/>
  <c r="AL61" i="1"/>
  <c r="AL62" i="1" s="1"/>
  <c r="AK70" i="1"/>
  <c r="AK94" i="1" s="1"/>
  <c r="AK69" i="1"/>
  <c r="AK93" i="1" s="1"/>
  <c r="AJ96" i="1"/>
  <c r="AJ72" i="1"/>
  <c r="AJ97" i="1"/>
  <c r="AJ73" i="1"/>
  <c r="AN60" i="1" l="1"/>
  <c r="AN59" i="1"/>
  <c r="AN91" i="1" s="1"/>
  <c r="AN58" i="1"/>
  <c r="AN90" i="1" s="1"/>
  <c r="AK97" i="1"/>
  <c r="AK73" i="1"/>
  <c r="AL70" i="1"/>
  <c r="AL94" i="1" s="1"/>
  <c r="AL69" i="1"/>
  <c r="AL93" i="1" s="1"/>
  <c r="AN92" i="1"/>
  <c r="AN87" i="1"/>
  <c r="AO2" i="1"/>
  <c r="AM61" i="1"/>
  <c r="AM62" i="1" s="1"/>
  <c r="AK96" i="1"/>
  <c r="AK72" i="1"/>
  <c r="AO58" i="1" l="1"/>
  <c r="AO60" i="1"/>
  <c r="AO59" i="1"/>
  <c r="AN61" i="1"/>
  <c r="AN62" i="1" s="1"/>
  <c r="AL96" i="1"/>
  <c r="AL72" i="1"/>
  <c r="AL97" i="1"/>
  <c r="AL73" i="1"/>
  <c r="AM69" i="1"/>
  <c r="AM93" i="1" s="1"/>
  <c r="AM70" i="1"/>
  <c r="AM94" i="1" s="1"/>
  <c r="AO87" i="1"/>
  <c r="AO91" i="1"/>
  <c r="AO92" i="1"/>
  <c r="AP2" i="1"/>
  <c r="AO90" i="1"/>
  <c r="AP58" i="1" l="1"/>
  <c r="AP60" i="1"/>
  <c r="AP59" i="1"/>
  <c r="AP87" i="1"/>
  <c r="AQ2" i="1"/>
  <c r="AP90" i="1"/>
  <c r="AP91" i="1"/>
  <c r="AP92" i="1"/>
  <c r="AM97" i="1"/>
  <c r="AM73" i="1"/>
  <c r="AM96" i="1"/>
  <c r="AM72" i="1"/>
  <c r="AN70" i="1"/>
  <c r="AN94" i="1" s="1"/>
  <c r="AN69" i="1"/>
  <c r="AN93" i="1" s="1"/>
  <c r="AO61" i="1"/>
  <c r="AO62" i="1" s="1"/>
  <c r="AQ58" i="1" l="1"/>
  <c r="AQ90" i="1" s="1"/>
  <c r="AQ60" i="1"/>
  <c r="AQ92" i="1" s="1"/>
  <c r="AQ59" i="1"/>
  <c r="AN96" i="1"/>
  <c r="AN72" i="1"/>
  <c r="AN97" i="1"/>
  <c r="AN73" i="1"/>
  <c r="AQ91" i="1"/>
  <c r="AQ87" i="1"/>
  <c r="AR2" i="1"/>
  <c r="AO70" i="1"/>
  <c r="AO94" i="1" s="1"/>
  <c r="AO69" i="1"/>
  <c r="AO93" i="1" s="1"/>
  <c r="AP61" i="1"/>
  <c r="AP62" i="1" s="1"/>
  <c r="AR59" i="1" l="1"/>
  <c r="AR58" i="1"/>
  <c r="AR60" i="1"/>
  <c r="AR92" i="1" s="1"/>
  <c r="AO96" i="1"/>
  <c r="AO72" i="1"/>
  <c r="AO97" i="1"/>
  <c r="AO73" i="1"/>
  <c r="AQ61" i="1"/>
  <c r="AQ62" i="1" s="1"/>
  <c r="AP69" i="1"/>
  <c r="AP93" i="1" s="1"/>
  <c r="AP70" i="1"/>
  <c r="AP94" i="1" s="1"/>
  <c r="AR91" i="1"/>
  <c r="AS2" i="1"/>
  <c r="AR87" i="1"/>
  <c r="AR90" i="1"/>
  <c r="AS59" i="1" l="1"/>
  <c r="AS58" i="1"/>
  <c r="AS90" i="1" s="1"/>
  <c r="AS60" i="1"/>
  <c r="AS92" i="1" s="1"/>
  <c r="AR61" i="1"/>
  <c r="AR62" i="1" s="1"/>
  <c r="AP97" i="1"/>
  <c r="AP73" i="1"/>
  <c r="AS91" i="1"/>
  <c r="AS87" i="1"/>
  <c r="AT2" i="1"/>
  <c r="AP96" i="1"/>
  <c r="AP72" i="1"/>
  <c r="AQ70" i="1"/>
  <c r="AQ94" i="1" s="1"/>
  <c r="AQ69" i="1"/>
  <c r="AQ93" i="1" s="1"/>
  <c r="AT59" i="1" l="1"/>
  <c r="AT60" i="1"/>
  <c r="AT92" i="1" s="1"/>
  <c r="AT58" i="1"/>
  <c r="AT90" i="1" s="1"/>
  <c r="AQ97" i="1"/>
  <c r="AQ73" i="1"/>
  <c r="AT91" i="1"/>
  <c r="AU2" i="1"/>
  <c r="AT87" i="1"/>
  <c r="AS61" i="1"/>
  <c r="AS62" i="1" s="1"/>
  <c r="AR70" i="1"/>
  <c r="AR94" i="1" s="1"/>
  <c r="AR69" i="1"/>
  <c r="AR93" i="1" s="1"/>
  <c r="AQ96" i="1"/>
  <c r="AQ72" i="1"/>
  <c r="AU60" i="1" l="1"/>
  <c r="AU59" i="1"/>
  <c r="AU58" i="1"/>
  <c r="AV2" i="1"/>
  <c r="AU90" i="1"/>
  <c r="AU92" i="1"/>
  <c r="AU91" i="1"/>
  <c r="AU87" i="1"/>
  <c r="AR97" i="1"/>
  <c r="AR73" i="1"/>
  <c r="AR96" i="1"/>
  <c r="AR72" i="1"/>
  <c r="AS69" i="1"/>
  <c r="AS93" i="1" s="1"/>
  <c r="AS70" i="1"/>
  <c r="AS94" i="1" s="1"/>
  <c r="AT61" i="1"/>
  <c r="AT62" i="1" s="1"/>
  <c r="AV60" i="1" l="1"/>
  <c r="AV59" i="1"/>
  <c r="AV58" i="1"/>
  <c r="AV90" i="1" s="1"/>
  <c r="AS97" i="1"/>
  <c r="AS73" i="1"/>
  <c r="AS96" i="1"/>
  <c r="AS72" i="1"/>
  <c r="AT70" i="1"/>
  <c r="AT94" i="1" s="1"/>
  <c r="AT69" i="1"/>
  <c r="AT93" i="1" s="1"/>
  <c r="AU61" i="1"/>
  <c r="AU62" i="1" s="1"/>
  <c r="AV92" i="1"/>
  <c r="AV87" i="1"/>
  <c r="AW2" i="1"/>
  <c r="AV91" i="1"/>
  <c r="AW58" i="1" l="1"/>
  <c r="AW90" i="1" s="1"/>
  <c r="AW60" i="1"/>
  <c r="AW59" i="1"/>
  <c r="AW91" i="1" s="1"/>
  <c r="AU70" i="1"/>
  <c r="AU94" i="1" s="1"/>
  <c r="AU69" i="1"/>
  <c r="AU93" i="1" s="1"/>
  <c r="AX2" i="1"/>
  <c r="AW92" i="1"/>
  <c r="AW87" i="1"/>
  <c r="AV61" i="1"/>
  <c r="AV62" i="1" s="1"/>
  <c r="AT96" i="1"/>
  <c r="AT72" i="1"/>
  <c r="AT97" i="1"/>
  <c r="AT73" i="1"/>
  <c r="AX58" i="1" l="1"/>
  <c r="AX90" i="1" s="1"/>
  <c r="AX60" i="1"/>
  <c r="AX92" i="1" s="1"/>
  <c r="AX59" i="1"/>
  <c r="AX87" i="1"/>
  <c r="AY2" i="1"/>
  <c r="AX91" i="1"/>
  <c r="AW61" i="1"/>
  <c r="AW62" i="1" s="1"/>
  <c r="AU96" i="1"/>
  <c r="AU72" i="1"/>
  <c r="AV70" i="1"/>
  <c r="AV94" i="1" s="1"/>
  <c r="AV69" i="1"/>
  <c r="AV93" i="1" s="1"/>
  <c r="AU97" i="1"/>
  <c r="AU73" i="1"/>
  <c r="AY58" i="1" l="1"/>
  <c r="AY60" i="1"/>
  <c r="AY92" i="1" s="1"/>
  <c r="AY59" i="1"/>
  <c r="AX61" i="1"/>
  <c r="AX62" i="1" s="1"/>
  <c r="AW70" i="1"/>
  <c r="AW94" i="1" s="1"/>
  <c r="AW69" i="1"/>
  <c r="AW93" i="1" s="1"/>
  <c r="AV97" i="1"/>
  <c r="AV73" i="1"/>
  <c r="AY90" i="1"/>
  <c r="AY87" i="1"/>
  <c r="AZ2" i="1"/>
  <c r="AY91" i="1"/>
  <c r="AV72" i="1"/>
  <c r="AV96" i="1"/>
  <c r="AZ59" i="1" l="1"/>
  <c r="AZ58" i="1"/>
  <c r="AZ90" i="1" s="1"/>
  <c r="AZ60" i="1"/>
  <c r="AW97" i="1"/>
  <c r="AW73" i="1"/>
  <c r="AX69" i="1"/>
  <c r="AX93" i="1" s="1"/>
  <c r="AX70" i="1"/>
  <c r="AX94" i="1" s="1"/>
  <c r="AY61" i="1"/>
  <c r="AY62" i="1" s="1"/>
  <c r="AW72" i="1"/>
  <c r="AW96" i="1"/>
  <c r="BA2" i="1"/>
  <c r="AZ87" i="1"/>
  <c r="AZ91" i="1"/>
  <c r="AZ92" i="1"/>
  <c r="BA59" i="1" l="1"/>
  <c r="BA58" i="1"/>
  <c r="BA90" i="1" s="1"/>
  <c r="BA60" i="1"/>
  <c r="AX97" i="1"/>
  <c r="AX73" i="1"/>
  <c r="AZ61" i="1"/>
  <c r="AZ62" i="1" s="1"/>
  <c r="AX96" i="1"/>
  <c r="AX72" i="1"/>
  <c r="BA91" i="1"/>
  <c r="BB2" i="1"/>
  <c r="BA87" i="1"/>
  <c r="BA92" i="1"/>
  <c r="AY70" i="1"/>
  <c r="AY94" i="1" s="1"/>
  <c r="AY69" i="1"/>
  <c r="AY93" i="1" s="1"/>
  <c r="BB59" i="1" l="1"/>
  <c r="BB58" i="1"/>
  <c r="BB60" i="1"/>
  <c r="BC2" i="1"/>
  <c r="BB87" i="1"/>
  <c r="BB92" i="1"/>
  <c r="BB90" i="1"/>
  <c r="BB91" i="1"/>
  <c r="AZ69" i="1"/>
  <c r="AZ93" i="1" s="1"/>
  <c r="AZ70" i="1"/>
  <c r="AZ94" i="1" s="1"/>
  <c r="AY97" i="1"/>
  <c r="AY73" i="1"/>
  <c r="AY96" i="1"/>
  <c r="AY72" i="1"/>
  <c r="BA61" i="1"/>
  <c r="BA62" i="1" s="1"/>
  <c r="BC60" i="1" l="1"/>
  <c r="BC59" i="1"/>
  <c r="BC58" i="1"/>
  <c r="BC90" i="1" s="1"/>
  <c r="AZ97" i="1"/>
  <c r="AZ73" i="1"/>
  <c r="AZ96" i="1"/>
  <c r="AZ72" i="1"/>
  <c r="BB61" i="1"/>
  <c r="BB62" i="1" s="1"/>
  <c r="BA70" i="1"/>
  <c r="BA94" i="1" s="1"/>
  <c r="BA69" i="1"/>
  <c r="BA93" i="1" s="1"/>
  <c r="BC91" i="1"/>
  <c r="BC92" i="1"/>
  <c r="BD2" i="1"/>
  <c r="BC87" i="1"/>
  <c r="BD60" i="1" l="1"/>
  <c r="BD92" i="1" s="1"/>
  <c r="BD59" i="1"/>
  <c r="BD58" i="1"/>
  <c r="BD90" i="1" s="1"/>
  <c r="BD91" i="1"/>
  <c r="BD87" i="1"/>
  <c r="BE2" i="1"/>
  <c r="BA96" i="1"/>
  <c r="BA72" i="1"/>
  <c r="BA97" i="1"/>
  <c r="BA73" i="1"/>
  <c r="BB69" i="1"/>
  <c r="BB93" i="1" s="1"/>
  <c r="BB70" i="1"/>
  <c r="BB94" i="1" s="1"/>
  <c r="BC61" i="1"/>
  <c r="BC62" i="1" s="1"/>
  <c r="BE58" i="1" l="1"/>
  <c r="BE60" i="1"/>
  <c r="BE92" i="1" s="1"/>
  <c r="BE59" i="1"/>
  <c r="BB96" i="1"/>
  <c r="BB72" i="1"/>
  <c r="BD61" i="1"/>
  <c r="BD62" i="1" s="1"/>
  <c r="BB97" i="1"/>
  <c r="BB73" i="1"/>
  <c r="BC70" i="1"/>
  <c r="BC94" i="1" s="1"/>
  <c r="BC69" i="1"/>
  <c r="BC93" i="1" s="1"/>
  <c r="BE87" i="1"/>
  <c r="BE90" i="1"/>
  <c r="BF2" i="1"/>
  <c r="BE91" i="1"/>
  <c r="BF58" i="1" l="1"/>
  <c r="BF90" i="1" s="1"/>
  <c r="BF60" i="1"/>
  <c r="BF92" i="1" s="1"/>
  <c r="BF59" i="1"/>
  <c r="BF91" i="1" s="1"/>
  <c r="BC97" i="1"/>
  <c r="BC73" i="1"/>
  <c r="BD70" i="1"/>
  <c r="BD94" i="1" s="1"/>
  <c r="BD69" i="1"/>
  <c r="BD93" i="1" s="1"/>
  <c r="BG2" i="1"/>
  <c r="BF87" i="1"/>
  <c r="BC96" i="1"/>
  <c r="BC72" i="1"/>
  <c r="BE61" i="1"/>
  <c r="BE62" i="1" s="1"/>
  <c r="BG58" i="1" l="1"/>
  <c r="BG90" i="1" s="1"/>
  <c r="BG60" i="1"/>
  <c r="BG92" i="1" s="1"/>
  <c r="BG59" i="1"/>
  <c r="BG91" i="1" s="1"/>
  <c r="BD97" i="1"/>
  <c r="BD73" i="1"/>
  <c r="BF61" i="1"/>
  <c r="BF62" i="1" s="1"/>
  <c r="BD96" i="1"/>
  <c r="BD72" i="1"/>
  <c r="BE70" i="1"/>
  <c r="BE94" i="1" s="1"/>
  <c r="BE69" i="1"/>
  <c r="BE93" i="1" s="1"/>
  <c r="BH2" i="1"/>
  <c r="BG87" i="1"/>
  <c r="BH59" i="1" l="1"/>
  <c r="BH58" i="1"/>
  <c r="BH90" i="1" s="1"/>
  <c r="BH60" i="1"/>
  <c r="BH92" i="1" s="1"/>
  <c r="BF69" i="1"/>
  <c r="BF93" i="1" s="1"/>
  <c r="BF70" i="1"/>
  <c r="BF94" i="1" s="1"/>
  <c r="BI2" i="1"/>
  <c r="BH87" i="1"/>
  <c r="BH91" i="1"/>
  <c r="BE96" i="1"/>
  <c r="BE72" i="1"/>
  <c r="BE73" i="1"/>
  <c r="BE97" i="1"/>
  <c r="BG61" i="1"/>
  <c r="BG62" i="1" s="1"/>
  <c r="BI59" i="1" l="1"/>
  <c r="BI58" i="1"/>
  <c r="BI90" i="1" s="1"/>
  <c r="BI60" i="1"/>
  <c r="BJ2" i="1"/>
  <c r="BI92" i="1"/>
  <c r="BI87" i="1"/>
  <c r="BI91" i="1"/>
  <c r="BH61" i="1"/>
  <c r="BH62" i="1" s="1"/>
  <c r="BF97" i="1"/>
  <c r="BF73" i="1"/>
  <c r="BG70" i="1"/>
  <c r="BG94" i="1" s="1"/>
  <c r="BG69" i="1"/>
  <c r="BG93" i="1" s="1"/>
  <c r="BF96" i="1"/>
  <c r="BF72" i="1"/>
  <c r="BJ59" i="1" l="1"/>
  <c r="BJ58" i="1"/>
  <c r="BJ60" i="1"/>
  <c r="BJ92" i="1" s="1"/>
  <c r="BI61" i="1"/>
  <c r="BI62" i="1" s="1"/>
  <c r="BG96" i="1"/>
  <c r="BG72" i="1"/>
  <c r="BG97" i="1"/>
  <c r="BG73" i="1"/>
  <c r="BH70" i="1"/>
  <c r="BH94" i="1" s="1"/>
  <c r="BH69" i="1"/>
  <c r="BH93" i="1" s="1"/>
  <c r="BJ91" i="1"/>
  <c r="BJ87" i="1"/>
  <c r="BJ90" i="1"/>
  <c r="BK2" i="1"/>
  <c r="BK60" i="1" l="1"/>
  <c r="BK59" i="1"/>
  <c r="BK58" i="1"/>
  <c r="BK90" i="1" s="1"/>
  <c r="BJ61" i="1"/>
  <c r="BJ62" i="1" s="1"/>
  <c r="BH97" i="1"/>
  <c r="BH73" i="1"/>
  <c r="BI70" i="1"/>
  <c r="BI94" i="1" s="1"/>
  <c r="BI69" i="1"/>
  <c r="BI93" i="1" s="1"/>
  <c r="BH96" i="1"/>
  <c r="BH72" i="1"/>
  <c r="BL2" i="1"/>
  <c r="BK87" i="1"/>
  <c r="BK92" i="1"/>
  <c r="BK91" i="1"/>
  <c r="BL60" i="1" l="1"/>
  <c r="BL59" i="1"/>
  <c r="BL91" i="1" s="1"/>
  <c r="BL58" i="1"/>
  <c r="BK61" i="1"/>
  <c r="BK62" i="1" s="1"/>
  <c r="BL90" i="1"/>
  <c r="BL87" i="1"/>
  <c r="BM2" i="1"/>
  <c r="BL92" i="1"/>
  <c r="BI96" i="1"/>
  <c r="BI72" i="1"/>
  <c r="BJ70" i="1"/>
  <c r="BJ94" i="1" s="1"/>
  <c r="BJ69" i="1"/>
  <c r="BJ93" i="1" s="1"/>
  <c r="BI97" i="1"/>
  <c r="BI73" i="1"/>
  <c r="BM58" i="1" l="1"/>
  <c r="BM60" i="1"/>
  <c r="BM59" i="1"/>
  <c r="BM91" i="1" s="1"/>
  <c r="BJ97" i="1"/>
  <c r="BJ73" i="1"/>
  <c r="BK69" i="1"/>
  <c r="BK93" i="1" s="1"/>
  <c r="BK70" i="1"/>
  <c r="BK94" i="1" s="1"/>
  <c r="BL61" i="1"/>
  <c r="BL62" i="1" s="1"/>
  <c r="BJ96" i="1"/>
  <c r="BJ72" i="1"/>
  <c r="BN2" i="1"/>
  <c r="BM90" i="1"/>
  <c r="BM87" i="1"/>
  <c r="BM92" i="1"/>
  <c r="BN58" i="1" l="1"/>
  <c r="BN90" i="1" s="1"/>
  <c r="BN60" i="1"/>
  <c r="BN92" i="1" s="1"/>
  <c r="BN59" i="1"/>
  <c r="BN87" i="1"/>
  <c r="BN91" i="1"/>
  <c r="BO2" i="1"/>
  <c r="BM61" i="1"/>
  <c r="BM62" i="1" s="1"/>
  <c r="BK97" i="1"/>
  <c r="BK73" i="1"/>
  <c r="BK72" i="1"/>
  <c r="BK96" i="1"/>
  <c r="BL70" i="1"/>
  <c r="BL94" i="1" s="1"/>
  <c r="BL69" i="1"/>
  <c r="BL93" i="1" s="1"/>
  <c r="BO58" i="1" l="1"/>
  <c r="BO60" i="1"/>
  <c r="BO59" i="1"/>
  <c r="BL97" i="1"/>
  <c r="BL73" i="1"/>
  <c r="BN61" i="1"/>
  <c r="BN62" i="1" s="1"/>
  <c r="BM70" i="1"/>
  <c r="BM94" i="1" s="1"/>
  <c r="BM69" i="1"/>
  <c r="BM93" i="1" s="1"/>
  <c r="BL96" i="1"/>
  <c r="BL72" i="1"/>
  <c r="BO87" i="1"/>
  <c r="BP2" i="1"/>
  <c r="BO91" i="1"/>
  <c r="BO92" i="1"/>
  <c r="BO90" i="1"/>
  <c r="BP59" i="1" l="1"/>
  <c r="BP58" i="1"/>
  <c r="BP60" i="1"/>
  <c r="BP92" i="1" s="1"/>
  <c r="BP91" i="1"/>
  <c r="BP90" i="1"/>
  <c r="BP87" i="1"/>
  <c r="BQ2" i="1"/>
  <c r="BM96" i="1"/>
  <c r="BM72" i="1"/>
  <c r="BN70" i="1"/>
  <c r="BN94" i="1" s="1"/>
  <c r="BN69" i="1"/>
  <c r="BN93" i="1" s="1"/>
  <c r="BO61" i="1"/>
  <c r="BO62" i="1" s="1"/>
  <c r="BM97" i="1"/>
  <c r="BM73" i="1"/>
  <c r="BQ59" i="1" l="1"/>
  <c r="BQ58" i="1"/>
  <c r="BQ60" i="1"/>
  <c r="BQ92" i="1" s="1"/>
  <c r="BP61" i="1"/>
  <c r="BP62" i="1" s="1"/>
  <c r="BN97" i="1"/>
  <c r="BN73" i="1"/>
  <c r="BO69" i="1"/>
  <c r="BO93" i="1" s="1"/>
  <c r="BO70" i="1"/>
  <c r="BO94" i="1" s="1"/>
  <c r="BN96" i="1"/>
  <c r="BN72" i="1"/>
  <c r="BR2" i="1"/>
  <c r="BQ91" i="1"/>
  <c r="BQ87" i="1"/>
  <c r="BQ90" i="1"/>
  <c r="BR59" i="1" l="1"/>
  <c r="BR60" i="1"/>
  <c r="BR58" i="1"/>
  <c r="BQ61" i="1"/>
  <c r="BQ62" i="1" s="1"/>
  <c r="BR90" i="1"/>
  <c r="BR87" i="1"/>
  <c r="BR91" i="1"/>
  <c r="BR92" i="1"/>
  <c r="BS2" i="1"/>
  <c r="BO97" i="1"/>
  <c r="BO73" i="1"/>
  <c r="BP70" i="1"/>
  <c r="BP94" i="1" s="1"/>
  <c r="BP69" i="1"/>
  <c r="BP93" i="1" s="1"/>
  <c r="BO96" i="1"/>
  <c r="BO72" i="1"/>
  <c r="BS60" i="1" l="1"/>
  <c r="BS59" i="1"/>
  <c r="BS91" i="1" s="1"/>
  <c r="BS58" i="1"/>
  <c r="BS90" i="1" s="1"/>
  <c r="BR61" i="1"/>
  <c r="BR62" i="1" s="1"/>
  <c r="BQ70" i="1"/>
  <c r="BQ94" i="1" s="1"/>
  <c r="BQ69" i="1"/>
  <c r="BQ93" i="1" s="1"/>
  <c r="BP96" i="1"/>
  <c r="BP72" i="1"/>
  <c r="BS92" i="1"/>
  <c r="BT2" i="1"/>
  <c r="BS87" i="1"/>
  <c r="BP97" i="1"/>
  <c r="BP73" i="1"/>
  <c r="BT60" i="1" l="1"/>
  <c r="BT92" i="1" s="1"/>
  <c r="BT59" i="1"/>
  <c r="BT91" i="1" s="1"/>
  <c r="BT58" i="1"/>
  <c r="BS61" i="1"/>
  <c r="BS62" i="1" s="1"/>
  <c r="BQ97" i="1"/>
  <c r="BQ73" i="1"/>
  <c r="BT90" i="1"/>
  <c r="BU2" i="1"/>
  <c r="BT87" i="1"/>
  <c r="BR69" i="1"/>
  <c r="BR93" i="1" s="1"/>
  <c r="BR70" i="1"/>
  <c r="BR94" i="1" s="1"/>
  <c r="BQ96" i="1"/>
  <c r="BQ72" i="1"/>
  <c r="BU58" i="1" l="1"/>
  <c r="BU90" i="1" s="1"/>
  <c r="BU60" i="1"/>
  <c r="BU92" i="1" s="1"/>
  <c r="BU59" i="1"/>
  <c r="BU91" i="1" s="1"/>
  <c r="BR97" i="1"/>
  <c r="BR73" i="1"/>
  <c r="BT61" i="1"/>
  <c r="BT62" i="1" s="1"/>
  <c r="BR96" i="1"/>
  <c r="BR72" i="1"/>
  <c r="BU87" i="1"/>
  <c r="BV2" i="1"/>
  <c r="BS69" i="1"/>
  <c r="BS93" i="1" s="1"/>
  <c r="BS70" i="1"/>
  <c r="BS94" i="1" s="1"/>
  <c r="BV58" i="1" l="1"/>
  <c r="BV60" i="1"/>
  <c r="BV59" i="1"/>
  <c r="BV91" i="1" s="1"/>
  <c r="BS96" i="1"/>
  <c r="BS72" i="1"/>
  <c r="BT69" i="1"/>
  <c r="BT93" i="1" s="1"/>
  <c r="BT70" i="1"/>
  <c r="BT94" i="1" s="1"/>
  <c r="BV92" i="1"/>
  <c r="BV90" i="1"/>
  <c r="BV87" i="1"/>
  <c r="BW2" i="1"/>
  <c r="BU61" i="1"/>
  <c r="BU62" i="1" s="1"/>
  <c r="BS97" i="1"/>
  <c r="BS73" i="1"/>
  <c r="BW58" i="1" l="1"/>
  <c r="BW60" i="1"/>
  <c r="BW59" i="1"/>
  <c r="BW91" i="1" s="1"/>
  <c r="BV61" i="1"/>
  <c r="BV62" i="1" s="1"/>
  <c r="BW92" i="1"/>
  <c r="BW87" i="1"/>
  <c r="BW90" i="1"/>
  <c r="BX2" i="1"/>
  <c r="BU70" i="1"/>
  <c r="BU94" i="1" s="1"/>
  <c r="BU69" i="1"/>
  <c r="BU93" i="1" s="1"/>
  <c r="BT96" i="1"/>
  <c r="BT72" i="1"/>
  <c r="BT97" i="1"/>
  <c r="BT73" i="1"/>
  <c r="BX59" i="1" l="1"/>
  <c r="BX91" i="1" s="1"/>
  <c r="BX58" i="1"/>
  <c r="BX90" i="1" s="1"/>
  <c r="BX60" i="1"/>
  <c r="BX92" i="1" s="1"/>
  <c r="BV70" i="1"/>
  <c r="BV94" i="1" s="1"/>
  <c r="BV69" i="1"/>
  <c r="BV93" i="1" s="1"/>
  <c r="BU97" i="1"/>
  <c r="BU73" i="1"/>
  <c r="BX87" i="1"/>
  <c r="BY2" i="1"/>
  <c r="BU96" i="1"/>
  <c r="BU72" i="1"/>
  <c r="BW61" i="1"/>
  <c r="BW62" i="1" s="1"/>
  <c r="BY59" i="1" l="1"/>
  <c r="BY58" i="1"/>
  <c r="BY90" i="1" s="1"/>
  <c r="BY60" i="1"/>
  <c r="BY92" i="1" s="1"/>
  <c r="BV96" i="1"/>
  <c r="BV72" i="1"/>
  <c r="BZ2" i="1"/>
  <c r="BY91" i="1"/>
  <c r="BY87" i="1"/>
  <c r="BW69" i="1"/>
  <c r="BW93" i="1" s="1"/>
  <c r="BW70" i="1"/>
  <c r="BW94" i="1" s="1"/>
  <c r="BX61" i="1"/>
  <c r="BX62" i="1" s="1"/>
  <c r="BV97" i="1"/>
  <c r="BV73" i="1"/>
  <c r="BZ59" i="1" l="1"/>
  <c r="BZ58" i="1"/>
  <c r="BZ60" i="1"/>
  <c r="BZ92" i="1" s="1"/>
  <c r="BW96" i="1"/>
  <c r="BW72" i="1"/>
  <c r="BY61" i="1"/>
  <c r="BY62" i="1" s="1"/>
  <c r="BZ91" i="1"/>
  <c r="BZ90" i="1"/>
  <c r="BZ87" i="1"/>
  <c r="CA2" i="1"/>
  <c r="BX70" i="1"/>
  <c r="BX94" i="1" s="1"/>
  <c r="BX69" i="1"/>
  <c r="BX93" i="1" s="1"/>
  <c r="BW97" i="1"/>
  <c r="BW73" i="1"/>
  <c r="CA60" i="1" l="1"/>
  <c r="CA59" i="1"/>
  <c r="CA58" i="1"/>
  <c r="BY69" i="1"/>
  <c r="BY93" i="1" s="1"/>
  <c r="BY70" i="1"/>
  <c r="BY94" i="1" s="1"/>
  <c r="BX96" i="1"/>
  <c r="BX72" i="1"/>
  <c r="BZ61" i="1"/>
  <c r="BZ62" i="1" s="1"/>
  <c r="BX97" i="1"/>
  <c r="BX73" i="1"/>
  <c r="CA92" i="1"/>
  <c r="CA91" i="1"/>
  <c r="CA87" i="1"/>
  <c r="CB2" i="1"/>
  <c r="CA90" i="1"/>
  <c r="CB60" i="1" l="1"/>
  <c r="CB92" i="1" s="1"/>
  <c r="CB59" i="1"/>
  <c r="CB91" i="1" s="1"/>
  <c r="CB58" i="1"/>
  <c r="CB87" i="1"/>
  <c r="CC2" i="1"/>
  <c r="CB90" i="1"/>
  <c r="BZ70" i="1"/>
  <c r="BZ94" i="1" s="1"/>
  <c r="BZ69" i="1"/>
  <c r="BZ93" i="1" s="1"/>
  <c r="BY97" i="1"/>
  <c r="BY73" i="1"/>
  <c r="CA61" i="1"/>
  <c r="CA62" i="1" s="1"/>
  <c r="BY96" i="1"/>
  <c r="BY72" i="1"/>
  <c r="CC58" i="1" l="1"/>
  <c r="CC90" i="1" s="1"/>
  <c r="CC60" i="1"/>
  <c r="CC59" i="1"/>
  <c r="CC91" i="1" s="1"/>
  <c r="CA70" i="1"/>
  <c r="CA94" i="1" s="1"/>
  <c r="CA69" i="1"/>
  <c r="CA93" i="1" s="1"/>
  <c r="CB61" i="1"/>
  <c r="CB62" i="1" s="1"/>
  <c r="BZ97" i="1"/>
  <c r="BZ73" i="1"/>
  <c r="CD2" i="1"/>
  <c r="CC87" i="1"/>
  <c r="CC92" i="1"/>
  <c r="BZ96" i="1"/>
  <c r="BZ72" i="1"/>
  <c r="CD58" i="1" l="1"/>
  <c r="CD60" i="1"/>
  <c r="CD92" i="1" s="1"/>
  <c r="CD59" i="1"/>
  <c r="CC61" i="1"/>
  <c r="CC62" i="1" s="1"/>
  <c r="CB70" i="1"/>
  <c r="CB94" i="1" s="1"/>
  <c r="CB69" i="1"/>
  <c r="CB93" i="1" s="1"/>
  <c r="CD91" i="1"/>
  <c r="CD87" i="1"/>
  <c r="CD90" i="1"/>
  <c r="CE2" i="1"/>
  <c r="CA96" i="1"/>
  <c r="CA72" i="1"/>
  <c r="CA97" i="1"/>
  <c r="CA73" i="1"/>
  <c r="CE58" i="1" l="1"/>
  <c r="CE90" i="1" s="1"/>
  <c r="CE60" i="1"/>
  <c r="CE92" i="1" s="1"/>
  <c r="CE59" i="1"/>
  <c r="CE91" i="1" s="1"/>
  <c r="CB97" i="1"/>
  <c r="CB73" i="1"/>
  <c r="CB96" i="1"/>
  <c r="CB72" i="1"/>
  <c r="CD61" i="1"/>
  <c r="CD62" i="1" s="1"/>
  <c r="CC69" i="1"/>
  <c r="CC93" i="1" s="1"/>
  <c r="CC70" i="1"/>
  <c r="CC94" i="1" s="1"/>
  <c r="CE87" i="1"/>
  <c r="CF2" i="1"/>
  <c r="CF59" i="1" l="1"/>
  <c r="CF58" i="1"/>
  <c r="CF60" i="1"/>
  <c r="CE61" i="1"/>
  <c r="CE62" i="1" s="1"/>
  <c r="CD70" i="1"/>
  <c r="CD94" i="1" s="1"/>
  <c r="CD69" i="1"/>
  <c r="CD93" i="1" s="1"/>
  <c r="CC97" i="1"/>
  <c r="CC73" i="1"/>
  <c r="CC96" i="1"/>
  <c r="CC72" i="1"/>
  <c r="CF90" i="1"/>
  <c r="CF91" i="1"/>
  <c r="CF87" i="1"/>
  <c r="CF92" i="1"/>
  <c r="CG2" i="1"/>
  <c r="CG59" i="1" l="1"/>
  <c r="CG58" i="1"/>
  <c r="CG90" i="1" s="1"/>
  <c r="CG60" i="1"/>
  <c r="CG92" i="1" s="1"/>
  <c r="CD96" i="1"/>
  <c r="CD72" i="1"/>
  <c r="CD97" i="1"/>
  <c r="CD73" i="1"/>
  <c r="CE69" i="1"/>
  <c r="CE93" i="1" s="1"/>
  <c r="CE70" i="1"/>
  <c r="CE94" i="1" s="1"/>
  <c r="CF61" i="1"/>
  <c r="CF62" i="1" s="1"/>
  <c r="CG91" i="1"/>
  <c r="CH2" i="1"/>
  <c r="CG87" i="1"/>
  <c r="CH59" i="1" l="1"/>
  <c r="CH58" i="1"/>
  <c r="CH60" i="1"/>
  <c r="CF69" i="1"/>
  <c r="CF93" i="1" s="1"/>
  <c r="CF70" i="1"/>
  <c r="CF94" i="1" s="1"/>
  <c r="CI2" i="1"/>
  <c r="CH90" i="1"/>
  <c r="CH92" i="1"/>
  <c r="CH87" i="1"/>
  <c r="CH91" i="1"/>
  <c r="CE97" i="1"/>
  <c r="CE73" i="1"/>
  <c r="CG61" i="1"/>
  <c r="CG62" i="1" s="1"/>
  <c r="CE96" i="1"/>
  <c r="CE72" i="1"/>
  <c r="CI60" i="1" l="1"/>
  <c r="CI59" i="1"/>
  <c r="CI58" i="1"/>
  <c r="CJ2" i="1"/>
  <c r="CI92" i="1"/>
  <c r="CI90" i="1"/>
  <c r="CI87" i="1"/>
  <c r="CI91" i="1"/>
  <c r="CG69" i="1"/>
  <c r="CG93" i="1" s="1"/>
  <c r="CG70" i="1"/>
  <c r="CG94" i="1" s="1"/>
  <c r="CH61" i="1"/>
  <c r="CH62" i="1" s="1"/>
  <c r="CF97" i="1"/>
  <c r="CF73" i="1"/>
  <c r="CF96" i="1"/>
  <c r="CF72" i="1"/>
  <c r="CJ60" i="1" l="1"/>
  <c r="CJ59" i="1"/>
  <c r="CJ58" i="1"/>
  <c r="CJ90" i="1" s="1"/>
  <c r="CG97" i="1"/>
  <c r="CG73" i="1"/>
  <c r="CG96" i="1"/>
  <c r="CG72" i="1"/>
  <c r="CI61" i="1"/>
  <c r="CI62" i="1" s="1"/>
  <c r="CH69" i="1"/>
  <c r="CH93" i="1" s="1"/>
  <c r="CH70" i="1"/>
  <c r="CH94" i="1" s="1"/>
  <c r="CK2" i="1"/>
  <c r="CJ92" i="1"/>
  <c r="CJ91" i="1"/>
  <c r="CJ87" i="1"/>
  <c r="CK58" i="1" l="1"/>
  <c r="CK60" i="1"/>
  <c r="CK92" i="1" s="1"/>
  <c r="CK59" i="1"/>
  <c r="CK91" i="1" s="1"/>
  <c r="CH97" i="1"/>
  <c r="CH73" i="1"/>
  <c r="CI70" i="1"/>
  <c r="CI94" i="1" s="1"/>
  <c r="CI69" i="1"/>
  <c r="CI93" i="1" s="1"/>
  <c r="CH96" i="1"/>
  <c r="CH72" i="1"/>
  <c r="CJ61" i="1"/>
  <c r="CJ62" i="1" s="1"/>
  <c r="CK90" i="1"/>
  <c r="CL2" i="1"/>
  <c r="CK87" i="1"/>
  <c r="CL58" i="1" l="1"/>
  <c r="CL60" i="1"/>
  <c r="CL59" i="1"/>
  <c r="CL91" i="1" s="1"/>
  <c r="CJ69" i="1"/>
  <c r="CJ93" i="1" s="1"/>
  <c r="CJ70" i="1"/>
  <c r="CJ94" i="1" s="1"/>
  <c r="CL92" i="1"/>
  <c r="CL87" i="1"/>
  <c r="CM2" i="1"/>
  <c r="CL90" i="1"/>
  <c r="CI97" i="1"/>
  <c r="CI73" i="1"/>
  <c r="CI72" i="1"/>
  <c r="CI96" i="1"/>
  <c r="CK61" i="1"/>
  <c r="CK62" i="1" s="1"/>
  <c r="CM58" i="1" l="1"/>
  <c r="CM90" i="1" s="1"/>
  <c r="CM60" i="1"/>
  <c r="CM92" i="1" s="1"/>
  <c r="CM59" i="1"/>
  <c r="CM91" i="1" s="1"/>
  <c r="CJ73" i="1"/>
  <c r="CJ97" i="1"/>
  <c r="CL61" i="1"/>
  <c r="CL62" i="1" s="1"/>
  <c r="CK69" i="1"/>
  <c r="CK93" i="1" s="1"/>
  <c r="CK70" i="1"/>
  <c r="CK94" i="1" s="1"/>
  <c r="CN2" i="1"/>
  <c r="CM87" i="1"/>
  <c r="CJ96" i="1"/>
  <c r="CJ72" i="1"/>
  <c r="CN59" i="1" l="1"/>
  <c r="CN91" i="1" s="1"/>
  <c r="CN58" i="1"/>
  <c r="CN60" i="1"/>
  <c r="CN92" i="1" s="1"/>
  <c r="CL70" i="1"/>
  <c r="CL94" i="1" s="1"/>
  <c r="CL69" i="1"/>
  <c r="CL93" i="1" s="1"/>
  <c r="CO2" i="1"/>
  <c r="CN90" i="1"/>
  <c r="CN87" i="1"/>
  <c r="CM61" i="1"/>
  <c r="CM62" i="1" s="1"/>
  <c r="CK97" i="1"/>
  <c r="CK73" i="1"/>
  <c r="CK96" i="1"/>
  <c r="CK72" i="1"/>
  <c r="CO59" i="1" l="1"/>
  <c r="CO58" i="1"/>
  <c r="CO60" i="1"/>
  <c r="CO92" i="1" s="1"/>
  <c r="CM70" i="1"/>
  <c r="CM94" i="1" s="1"/>
  <c r="CM69" i="1"/>
  <c r="CM93" i="1" s="1"/>
  <c r="CL97" i="1"/>
  <c r="CL73" i="1"/>
  <c r="CO90" i="1"/>
  <c r="CO91" i="1"/>
  <c r="CP2" i="1"/>
  <c r="CO87" i="1"/>
  <c r="CN61" i="1"/>
  <c r="CN62" i="1" s="1"/>
  <c r="CL96" i="1"/>
  <c r="CL72" i="1"/>
  <c r="CP59" i="1" l="1"/>
  <c r="CP91" i="1" s="1"/>
  <c r="CP58" i="1"/>
  <c r="CP90" i="1" s="1"/>
  <c r="CP60" i="1"/>
  <c r="CN70" i="1"/>
  <c r="CN94" i="1" s="1"/>
  <c r="CN69" i="1"/>
  <c r="CN93" i="1" s="1"/>
  <c r="CP92" i="1"/>
  <c r="CP87" i="1"/>
  <c r="CQ2" i="1"/>
  <c r="CM96" i="1"/>
  <c r="CM72" i="1"/>
  <c r="CO61" i="1"/>
  <c r="CO62" i="1" s="1"/>
  <c r="CM97" i="1"/>
  <c r="CM73" i="1"/>
  <c r="CQ60" i="1" l="1"/>
  <c r="CQ59" i="1"/>
  <c r="CQ58" i="1"/>
  <c r="CO70" i="1"/>
  <c r="CO94" i="1" s="1"/>
  <c r="CO69" i="1"/>
  <c r="CO93" i="1" s="1"/>
  <c r="CQ90" i="1"/>
  <c r="CQ92" i="1"/>
  <c r="CQ91" i="1"/>
  <c r="CQ87" i="1"/>
  <c r="CR2" i="1"/>
  <c r="CN96" i="1"/>
  <c r="CN72" i="1"/>
  <c r="CP61" i="1"/>
  <c r="CP62" i="1" s="1"/>
  <c r="CN97" i="1"/>
  <c r="CN73" i="1"/>
  <c r="CR60" i="1" l="1"/>
  <c r="CR59" i="1"/>
  <c r="CR58" i="1"/>
  <c r="CR90" i="1" s="1"/>
  <c r="CR87" i="1"/>
  <c r="CR92" i="1"/>
  <c r="CR91" i="1"/>
  <c r="CS2" i="1"/>
  <c r="CP70" i="1"/>
  <c r="CP94" i="1" s="1"/>
  <c r="CP69" i="1"/>
  <c r="CP93" i="1" s="1"/>
  <c r="CQ61" i="1"/>
  <c r="CQ62" i="1" s="1"/>
  <c r="CO96" i="1"/>
  <c r="CO72" i="1"/>
  <c r="CO97" i="1"/>
  <c r="CO73" i="1"/>
  <c r="CS58" i="1" l="1"/>
  <c r="CS90" i="1" s="1"/>
  <c r="CS60" i="1"/>
  <c r="CS59" i="1"/>
  <c r="CQ69" i="1"/>
  <c r="CQ93" i="1" s="1"/>
  <c r="CQ70" i="1"/>
  <c r="CQ94" i="1" s="1"/>
  <c r="CS91" i="1"/>
  <c r="CS92" i="1"/>
  <c r="CS87" i="1"/>
  <c r="CT2" i="1"/>
  <c r="CP96" i="1"/>
  <c r="CP72" i="1"/>
  <c r="CP97" i="1"/>
  <c r="CP73" i="1"/>
  <c r="CR61" i="1"/>
  <c r="CR62" i="1" s="1"/>
  <c r="CT58" i="1" l="1"/>
  <c r="CT90" i="1" s="1"/>
  <c r="CT60" i="1"/>
  <c r="CT59" i="1"/>
  <c r="CT87" i="1"/>
  <c r="CU2" i="1"/>
  <c r="CT91" i="1"/>
  <c r="CT92" i="1"/>
  <c r="CQ97" i="1"/>
  <c r="CQ73" i="1"/>
  <c r="CR70" i="1"/>
  <c r="CR94" i="1" s="1"/>
  <c r="CR69" i="1"/>
  <c r="CR93" i="1" s="1"/>
  <c r="CS61" i="1"/>
  <c r="CS62" i="1" s="1"/>
  <c r="CQ96" i="1"/>
  <c r="CQ72" i="1"/>
  <c r="CU58" i="1" l="1"/>
  <c r="CU60" i="1"/>
  <c r="CU59" i="1"/>
  <c r="CU91" i="1" s="1"/>
  <c r="CS69" i="1"/>
  <c r="CS93" i="1" s="1"/>
  <c r="CS70" i="1"/>
  <c r="CS94" i="1" s="1"/>
  <c r="CR97" i="1"/>
  <c r="CR73" i="1"/>
  <c r="CU92" i="1"/>
  <c r="CU90" i="1"/>
  <c r="CV2" i="1"/>
  <c r="CU87" i="1"/>
  <c r="CR96" i="1"/>
  <c r="CR72" i="1"/>
  <c r="CT61" i="1"/>
  <c r="CT62" i="1" s="1"/>
  <c r="CV59" i="1" l="1"/>
  <c r="CV58" i="1"/>
  <c r="CV90" i="1" s="1"/>
  <c r="CV60" i="1"/>
  <c r="CS97" i="1"/>
  <c r="CS73" i="1"/>
  <c r="CW2" i="1"/>
  <c r="CV87" i="1"/>
  <c r="CV92" i="1"/>
  <c r="CV91" i="1"/>
  <c r="CT69" i="1"/>
  <c r="CT93" i="1" s="1"/>
  <c r="CT70" i="1"/>
  <c r="CT94" i="1" s="1"/>
  <c r="CU61" i="1"/>
  <c r="CU62" i="1" s="1"/>
  <c r="CS96" i="1"/>
  <c r="CS72" i="1"/>
  <c r="CW59" i="1" l="1"/>
  <c r="CW58" i="1"/>
  <c r="CW90" i="1" s="1"/>
  <c r="CW60" i="1"/>
  <c r="CV61" i="1"/>
  <c r="CV62" i="1" s="1"/>
  <c r="CW92" i="1"/>
  <c r="CW91" i="1"/>
  <c r="CW87" i="1"/>
  <c r="CX2" i="1"/>
  <c r="CT96" i="1"/>
  <c r="CT72" i="1"/>
  <c r="CU69" i="1"/>
  <c r="CU93" i="1" s="1"/>
  <c r="CU70" i="1"/>
  <c r="CU94" i="1" s="1"/>
  <c r="CT73" i="1"/>
  <c r="CT97" i="1"/>
  <c r="CX59" i="1" l="1"/>
  <c r="CX58" i="1"/>
  <c r="CX90" i="1" s="1"/>
  <c r="CX60" i="1"/>
  <c r="CU96" i="1"/>
  <c r="CU72" i="1"/>
  <c r="CX92" i="1"/>
  <c r="CX91" i="1"/>
  <c r="CX87" i="1"/>
  <c r="CY2" i="1"/>
  <c r="CV69" i="1"/>
  <c r="CV93" i="1" s="1"/>
  <c r="CV70" i="1"/>
  <c r="CV94" i="1" s="1"/>
  <c r="CU97" i="1"/>
  <c r="CU73" i="1"/>
  <c r="CW61" i="1"/>
  <c r="CW62" i="1" s="1"/>
  <c r="CY60" i="1" l="1"/>
  <c r="CY59" i="1"/>
  <c r="CY91" i="1" s="1"/>
  <c r="CY58" i="1"/>
  <c r="CY90" i="1" s="1"/>
  <c r="C57" i="1"/>
  <c r="C56" i="1"/>
  <c r="CV96" i="1"/>
  <c r="CV72" i="1"/>
  <c r="CY87" i="1"/>
  <c r="CY92" i="1"/>
  <c r="CW69" i="1"/>
  <c r="CW93" i="1" s="1"/>
  <c r="CW70" i="1"/>
  <c r="CW94" i="1" s="1"/>
  <c r="CV97" i="1"/>
  <c r="CV73" i="1"/>
  <c r="CX61" i="1"/>
  <c r="CX62" i="1" s="1"/>
  <c r="C91" i="1" l="1"/>
  <c r="C59" i="1"/>
  <c r="CX69" i="1"/>
  <c r="CX93" i="1" s="1"/>
  <c r="CX70" i="1"/>
  <c r="CX94" i="1" s="1"/>
  <c r="CW73" i="1"/>
  <c r="CW97" i="1"/>
  <c r="CW96" i="1"/>
  <c r="CW72" i="1"/>
  <c r="C87" i="1"/>
  <c r="CY61" i="1"/>
  <c r="CY62" i="1" s="1"/>
  <c r="C55" i="1"/>
  <c r="C92" i="1"/>
  <c r="C60" i="1"/>
  <c r="C90" i="1"/>
  <c r="C58" i="1"/>
  <c r="CX97" i="1" l="1"/>
  <c r="CX73" i="1"/>
  <c r="C61" i="1"/>
  <c r="C62" i="1" s="1"/>
  <c r="CX96" i="1"/>
  <c r="CX72" i="1"/>
  <c r="CY69" i="1"/>
  <c r="CY93" i="1" s="1"/>
  <c r="CY70" i="1"/>
  <c r="CY94" i="1" s="1"/>
  <c r="CY73" i="1" l="1"/>
  <c r="C73" i="1" s="1"/>
  <c r="C70" i="1"/>
  <c r="CY72" i="1"/>
  <c r="C72" i="1" s="1"/>
  <c r="C69" i="1"/>
  <c r="CY96" i="1" l="1"/>
  <c r="C96" i="1" s="1"/>
  <c r="E5" i="13" s="1"/>
  <c r="F5" i="13" s="1"/>
  <c r="C93" i="1"/>
  <c r="F14" i="13" s="1"/>
  <c r="CY97" i="1"/>
  <c r="C97" i="1" s="1"/>
  <c r="E6" i="13" s="1"/>
  <c r="F6" i="13" s="1"/>
  <c r="C94" i="1"/>
  <c r="E8" i="13" l="1"/>
  <c r="D14" i="13"/>
  <c r="B14" i="13"/>
  <c r="C14" i="13"/>
  <c r="E14" i="13"/>
  <c r="G14" i="13" l="1"/>
</calcChain>
</file>

<file path=xl/sharedStrings.xml><?xml version="1.0" encoding="utf-8"?>
<sst xmlns="http://schemas.openxmlformats.org/spreadsheetml/2006/main" count="876" uniqueCount="607">
  <si>
    <t>Costs</t>
  </si>
  <si>
    <t>Year</t>
  </si>
  <si>
    <t>Subtotal</t>
  </si>
  <si>
    <t>Income</t>
  </si>
  <si>
    <t>Carbon</t>
  </si>
  <si>
    <t>Total Income</t>
  </si>
  <si>
    <t>Weeding</t>
  </si>
  <si>
    <t>Total</t>
  </si>
  <si>
    <t>Insurance</t>
  </si>
  <si>
    <t>Survey Work</t>
  </si>
  <si>
    <t>Verification:  years since start date</t>
  </si>
  <si>
    <t>Vintage Start Date</t>
  </si>
  <si>
    <t>Vintage End Date</t>
  </si>
  <si>
    <t>Subtotal - claimable under WCaG to f/y 2055/56</t>
  </si>
  <si>
    <t>Subtotal - remainder not claimable under WCaG</t>
  </si>
  <si>
    <t>Total - units claimable over 100 years</t>
  </si>
  <si>
    <t>PIU Issuance</t>
  </si>
  <si>
    <t>PIU-WCU Conversion</t>
  </si>
  <si>
    <t>Validation/ Verification</t>
  </si>
  <si>
    <t xml:space="preserve">Year </t>
  </si>
  <si>
    <t>Reference Table</t>
  </si>
  <si>
    <t>N/A</t>
  </si>
  <si>
    <t>NET INCOME</t>
  </si>
  <si>
    <t>Net Income (by Vintage)</t>
  </si>
  <si>
    <t>Net Income (Cumulative)</t>
  </si>
  <si>
    <t>Total Costs (by Vintage)</t>
  </si>
  <si>
    <t>Total Costs (Cumulative)</t>
  </si>
  <si>
    <t>Description of cost</t>
  </si>
  <si>
    <t>Description of income</t>
  </si>
  <si>
    <t>Thinning income</t>
  </si>
  <si>
    <t>Clearfell income</t>
  </si>
  <si>
    <t>Total PIUs in vintage to be listed (tCO2e)</t>
  </si>
  <si>
    <t>PIUs to Project (tCO2e)</t>
  </si>
  <si>
    <t>Version</t>
  </si>
  <si>
    <t>Changes</t>
  </si>
  <si>
    <t>Who</t>
  </si>
  <si>
    <t>Vicky West</t>
  </si>
  <si>
    <t>March 2021</t>
  </si>
  <si>
    <t>February 2018</t>
  </si>
  <si>
    <t>Additionality Spreadsheet Version 1.0</t>
  </si>
  <si>
    <t>COSTS OF INVOLVEMENT IN THE WOODLAND CARBON CODE</t>
  </si>
  <si>
    <t>Total Costs incl. Carbon</t>
  </si>
  <si>
    <t>Total Costs excl. Carbon</t>
  </si>
  <si>
    <t>Total Income incl. Carbon</t>
  </si>
  <si>
    <t>Total Income excl. Carbon</t>
  </si>
  <si>
    <t>Net Cash Flow incl. Carbon</t>
  </si>
  <si>
    <t>Net Cash Flow excl. Carbon</t>
  </si>
  <si>
    <t>Discounted Costs excl. Carbon</t>
  </si>
  <si>
    <t>Discounted Costs incl. Carbon</t>
  </si>
  <si>
    <t>Discounted Income incl. Carbon</t>
  </si>
  <si>
    <t>Discounted Income excl. Carbon</t>
  </si>
  <si>
    <t>Net Discounted Flow incl. Carbon</t>
  </si>
  <si>
    <t>Net Discounted Flow excl. Carbon</t>
  </si>
  <si>
    <t>Woodland Creation - Constant (cash) Figures</t>
  </si>
  <si>
    <t>Woodland Creation - Discounted Figures</t>
  </si>
  <si>
    <t>Grant</t>
  </si>
  <si>
    <t>Timber</t>
  </si>
  <si>
    <t>Donations</t>
  </si>
  <si>
    <t>Discounted Carbon Income</t>
  </si>
  <si>
    <t>Discounted Grant Income</t>
  </si>
  <si>
    <t>Discounted Thinning Income</t>
  </si>
  <si>
    <t>Discounted Clearfell Income</t>
  </si>
  <si>
    <t>Share of income by source (discounted)</t>
  </si>
  <si>
    <t>Cereals</t>
  </si>
  <si>
    <t>Dairy</t>
  </si>
  <si>
    <t>General Cropping</t>
  </si>
  <si>
    <t>Specialist Cattle (LFA)</t>
  </si>
  <si>
    <t>Cattle and Sheep (LFA)</t>
  </si>
  <si>
    <t>Specialist Sheep (LFA)</t>
  </si>
  <si>
    <t>Lowland Cattle and Sheep</t>
  </si>
  <si>
    <t>Scotland</t>
  </si>
  <si>
    <t>England</t>
  </si>
  <si>
    <t>Cereal</t>
  </si>
  <si>
    <t>Grazing livestock (lowland)</t>
  </si>
  <si>
    <t>Grazing livestock (LFA)</t>
  </si>
  <si>
    <t>Specialist pig farms</t>
  </si>
  <si>
    <t>Specialist poultry farms</t>
  </si>
  <si>
    <t>Horticulture farms</t>
  </si>
  <si>
    <t>Country</t>
  </si>
  <si>
    <t>Species</t>
  </si>
  <si>
    <t>TOTAL</t>
  </si>
  <si>
    <t>Project ID</t>
  </si>
  <si>
    <t>Registration</t>
  </si>
  <si>
    <t>Wales</t>
  </si>
  <si>
    <t>Northern Ireland</t>
  </si>
  <si>
    <t>Grass</t>
  </si>
  <si>
    <t>Potatoes</t>
  </si>
  <si>
    <t>Rough grazing</t>
  </si>
  <si>
    <t>Verification: Years since start date</t>
  </si>
  <si>
    <t>Cost (£)</t>
  </si>
  <si>
    <t>Rabbit netting</t>
  </si>
  <si>
    <t>Unit</t>
  </si>
  <si>
    <t>Each</t>
  </si>
  <si>
    <t>Hectare</t>
  </si>
  <si>
    <t>1-100</t>
  </si>
  <si>
    <t>Management to 10ha</t>
  </si>
  <si>
    <t>Management 10ha+</t>
  </si>
  <si>
    <t>Fertiliser</t>
  </si>
  <si>
    <t>£/ha</t>
  </si>
  <si>
    <t>Metre</t>
  </si>
  <si>
    <t>Value (£)</t>
  </si>
  <si>
    <t>SS</t>
  </si>
  <si>
    <t>Broadleaves - SAB (1.5m spacing)</t>
  </si>
  <si>
    <t>Other Conifer</t>
  </si>
  <si>
    <t>Cashflow</t>
  </si>
  <si>
    <t>Total Income at each Clearfell</t>
  </si>
  <si>
    <t>Income alternative landuse</t>
  </si>
  <si>
    <t>No of trees</t>
  </si>
  <si>
    <t>Sapling Purchase</t>
  </si>
  <si>
    <t>Planting Cost</t>
  </si>
  <si>
    <t>Beating Up Year 3 (5%)</t>
  </si>
  <si>
    <t>Beating Up Year 2 (10%)</t>
  </si>
  <si>
    <t>Forage/other</t>
  </si>
  <si>
    <t>Horticulture</t>
  </si>
  <si>
    <t>Pigs and poultry</t>
  </si>
  <si>
    <t>Cattle &amp; sheep (LFA)</t>
  </si>
  <si>
    <t>Beating Up Year 1 (15%)</t>
  </si>
  <si>
    <t>Total Sapling plus Planting</t>
  </si>
  <si>
    <t>Other landuse type</t>
  </si>
  <si>
    <t>Other farming (Not Cattle, Sheep or Dairy)</t>
  </si>
  <si>
    <t>£/hectare</t>
  </si>
  <si>
    <t>Residual income @project duration</t>
  </si>
  <si>
    <t>Clearfell Volume (m3)</t>
  </si>
  <si>
    <t>Income/ha - Check</t>
  </si>
  <si>
    <t>Residual timber value</t>
  </si>
  <si>
    <t>1, 38,76</t>
  </si>
  <si>
    <t>1, 60</t>
  </si>
  <si>
    <t>18, 23, 28, 33</t>
  </si>
  <si>
    <t>20, 25, 30, 35, 40, 45, 50, 55</t>
  </si>
  <si>
    <t>Number of years received</t>
  </si>
  <si>
    <t>** Grant, donations and other income are specific to project</t>
  </si>
  <si>
    <t>NPV/ha</t>
  </si>
  <si>
    <t>Beating up</t>
  </si>
  <si>
    <t>Farm Types by Country</t>
  </si>
  <si>
    <t>Select Farm Type</t>
  </si>
  <si>
    <t>Select Country First</t>
  </si>
  <si>
    <t>Northern_Ireland</t>
  </si>
  <si>
    <t>No Years BPS paid for</t>
  </si>
  <si>
    <t>Lookup column</t>
  </si>
  <si>
    <t>Select_Farm_Type</t>
  </si>
  <si>
    <t>BPS paid for first x years</t>
  </si>
  <si>
    <t>Right of this line will be hidden</t>
  </si>
  <si>
    <t>Area (ha)</t>
  </si>
  <si>
    <t>Hand screefing/turfing</t>
  </si>
  <si>
    <t>Scarification</t>
  </si>
  <si>
    <t>Mounding</t>
  </si>
  <si>
    <t>Ploughing</t>
  </si>
  <si>
    <t>Drains</t>
  </si>
  <si>
    <t>Sources:</t>
  </si>
  <si>
    <t>Conifer timber price</t>
  </si>
  <si>
    <t>Broadleaved timber price</t>
  </si>
  <si>
    <t>Sitka spruce rotation 2</t>
  </si>
  <si>
    <t>Sitka spruce rotation 3</t>
  </si>
  <si>
    <t>56, 61, 66, 71</t>
  </si>
  <si>
    <t>Sitka spruce rotation 1</t>
  </si>
  <si>
    <t>Other conifers (NS) rotation 1</t>
  </si>
  <si>
    <t>Other conifers (NS) rotation 2</t>
  </si>
  <si>
    <t>Carbon income</t>
  </si>
  <si>
    <t>Source</t>
  </si>
  <si>
    <t>Category</t>
  </si>
  <si>
    <t>3x year 1, 2x year 2, 1x year 3, repeated at each restock</t>
  </si>
  <si>
    <t>Activity</t>
  </si>
  <si>
    <t>Broadleaf</t>
  </si>
  <si>
    <t>Fencing</t>
  </si>
  <si>
    <t>1, plus restock of conifers</t>
  </si>
  <si>
    <t>Ongoing woodland management</t>
  </si>
  <si>
    <t>None</t>
  </si>
  <si>
    <t>Ground Prep (Mounding) at Restock</t>
  </si>
  <si>
    <t>Total cost (Year 1)</t>
  </si>
  <si>
    <t>Cost of maintenance</t>
  </si>
  <si>
    <t>Discounted Residual Timber Income</t>
  </si>
  <si>
    <t>Discount Rate</t>
  </si>
  <si>
    <t>3.5% Declining</t>
  </si>
  <si>
    <t>Fencing and tracks/roads</t>
  </si>
  <si>
    <t>Cost of Establishment</t>
  </si>
  <si>
    <t>Weeding Year 2 (twice)</t>
  </si>
  <si>
    <t>Weeding Year 3 (Once)</t>
  </si>
  <si>
    <t>Weeding Year 1 (3 times)</t>
  </si>
  <si>
    <t xml:space="preserve">Validation </t>
  </si>
  <si>
    <t>Validation</t>
  </si>
  <si>
    <t>Group 2-4</t>
  </si>
  <si>
    <t>Group 10-15</t>
  </si>
  <si>
    <t>Group 5-9</t>
  </si>
  <si>
    <t>Verification</t>
  </si>
  <si>
    <t>Validation - Group Total</t>
  </si>
  <si>
    <t>Verification - Group Total</t>
  </si>
  <si>
    <t>Per project</t>
  </si>
  <si>
    <t>Central to group</t>
  </si>
  <si>
    <t>Soil Association</t>
  </si>
  <si>
    <t>OF&amp;G</t>
  </si>
  <si>
    <t>Group 2-5</t>
  </si>
  <si>
    <t>Group 6-10</t>
  </si>
  <si>
    <t>Group 11-15</t>
  </si>
  <si>
    <t>Single</t>
  </si>
  <si>
    <t>Group</t>
  </si>
  <si>
    <t>Staff/contractor welfare on-site</t>
  </si>
  <si>
    <t>Agricultural Income Forgone</t>
  </si>
  <si>
    <t>Data source</t>
  </si>
  <si>
    <t>Reference/link</t>
  </si>
  <si>
    <t>** This lookup determines which carbon values to take - non-guarantee, guarantee with</t>
  </si>
  <si>
    <t>10-yearly verification or guarantee with 5-yearly verification</t>
  </si>
  <si>
    <t>Number</t>
  </si>
  <si>
    <t>Gates</t>
  </si>
  <si>
    <t>Results</t>
  </si>
  <si>
    <t>Ground Preparation DropDown List</t>
  </si>
  <si>
    <t>STPR (Standard)</t>
  </si>
  <si>
    <t>Volume (m3 overbark standing/ha)</t>
  </si>
  <si>
    <t>When income received</t>
  </si>
  <si>
    <t>Further Information</t>
  </si>
  <si>
    <t xml:space="preserve">Using a consistent carbon price across all projects allows comparison of the relative impact of </t>
  </si>
  <si>
    <t>FR Forest Yield</t>
  </si>
  <si>
    <t>FR Timber Price Indices</t>
  </si>
  <si>
    <t>carbon finance.</t>
  </si>
  <si>
    <t>BPS</t>
  </si>
  <si>
    <t>GiB Sycamore Data Sheet</t>
  </si>
  <si>
    <t>20, 40, 60, 80</t>
  </si>
  <si>
    <t>35, 70</t>
  </si>
  <si>
    <t>Discounted Cash Flow Alternative landuse</t>
  </si>
  <si>
    <t>Income Forgone</t>
  </si>
  <si>
    <t>Vole Guards</t>
  </si>
  <si>
    <t>Initial clearance</t>
  </si>
  <si>
    <t>80, 85, 90, 95, 100</t>
  </si>
  <si>
    <t>Share of income sources</t>
  </si>
  <si>
    <t>** Assumes standardised timber income (£/m3 overbark standing)</t>
  </si>
  <si>
    <t>TOGGLES FOR SF</t>
  </si>
  <si>
    <t>Spacing</t>
  </si>
  <si>
    <t>Fence upgrade/repair</t>
  </si>
  <si>
    <t>Vicky West, Andrew Baker, Heather Conejo</t>
  </si>
  <si>
    <t>Any year contractor is onsite for planting, beating up, thinning, clearfelling</t>
  </si>
  <si>
    <t>Source/Notes</t>
  </si>
  <si>
    <t>Per tree</t>
  </si>
  <si>
    <t>Existing fence upgrade/repair</t>
  </si>
  <si>
    <t>Cropping</t>
  </si>
  <si>
    <t>Grazing Livestock (Lowland)</t>
  </si>
  <si>
    <t>Poultry</t>
  </si>
  <si>
    <t>FBS data builder (farmbusinesssurvey.co.uk)</t>
  </si>
  <si>
    <t xml:space="preserve"> Project NPV</t>
  </si>
  <si>
    <t>Validation - Group Total - Costs from SA</t>
  </si>
  <si>
    <t>Verification - Group Total - Costs from SA</t>
  </si>
  <si>
    <t>T&amp;S ** Estimated for verification</t>
  </si>
  <si>
    <t>&gt;50ha assume 2 strata</t>
  </si>
  <si>
    <t>&lt;=50ha assume one stratum</t>
  </si>
  <si>
    <t>Pigs</t>
  </si>
  <si>
    <t>31, 36, 41, 46, 51, 56, 61, 66, 71</t>
  </si>
  <si>
    <t>Cattle and Sheep (Lowland)</t>
  </si>
  <si>
    <t>Arable</t>
  </si>
  <si>
    <t>Forest Expansion Scheme Questions and Answers 2020-2021.pdf (daera-ni.gov.uk)</t>
  </si>
  <si>
    <t>Cattle and sheep (LFA)</t>
  </si>
  <si>
    <t>Other pest protection</t>
  </si>
  <si>
    <t>https://www.fas.scot/downloads/sf-forestry-grant-scheme-woodland-creation/</t>
  </si>
  <si>
    <t>https://assets.publishing.service.gov.uk/government/uploads/system/uploads/attachment_data/file/992079/ON042_-_Guidance_on_woodland_grant_schemes_and_BPS_v5.0_issued_09062021.pdf</t>
  </si>
  <si>
    <t>Glastir Woodland Creation (window 11, September 2021): rules booklet [HTML] | GOV.WALES</t>
  </si>
  <si>
    <t>Establishment</t>
  </si>
  <si>
    <t>Maintenance</t>
  </si>
  <si>
    <t>SP</t>
  </si>
  <si>
    <t>Broadleaves - 1% of restock cost (Assumed £3,500/ha)</t>
  </si>
  <si>
    <t>Annual</t>
  </si>
  <si>
    <t>See cashflow</t>
  </si>
  <si>
    <t>Years when verification occurs</t>
  </si>
  <si>
    <t>Survey work</t>
  </si>
  <si>
    <t>Unit issuance</t>
  </si>
  <si>
    <t>Minimum fee</t>
  </si>
  <si>
    <t>Gross Carbon Income Once Verified (Cumulative)</t>
  </si>
  <si>
    <t>Carbon Income  Up Front (year 0)</t>
  </si>
  <si>
    <t>Summary Validation/Verification prices                                                        (Source: Soil Assoc and OF&amp;G)</t>
  </si>
  <si>
    <t>No responsibility for loss occasioned to any person or organisation acting, or refraining from action, as a result of any material in the product can be accepted by Scottish Forestry or the Forestry Commission.</t>
  </si>
  <si>
    <t>The Woodland Carbon Code Cashflow is distributed ‘as is’ and without warranties as to performance or merchantability or any other warranties whether expressed or implied.</t>
  </si>
  <si>
    <t>April 2022</t>
  </si>
  <si>
    <t>Minimum intervention broadleaves</t>
  </si>
  <si>
    <t>Broadleaves thin, clearfell or CCF</t>
  </si>
  <si>
    <t>Other conifers thin, clearfell or CCF</t>
  </si>
  <si>
    <t>Vehicle access gate maintenance</t>
  </si>
  <si>
    <t>Pedestrian gate maintenance</t>
  </si>
  <si>
    <t>Per gate</t>
  </si>
  <si>
    <t>Per shelter</t>
  </si>
  <si>
    <t>Per guard</t>
  </si>
  <si>
    <t>Natural regeneration broadleaves</t>
  </si>
  <si>
    <t>Validating as a single project or part of a group?</t>
  </si>
  <si>
    <t>Are you using the small woods carbon calculator (only&lt;=5ha)?</t>
  </si>
  <si>
    <t>Cap on length (m):</t>
  </si>
  <si>
    <t>Squirrel: Purchase and installation of traps at year 15</t>
  </si>
  <si>
    <t>Scots pine thin, clearfell or CCF</t>
  </si>
  <si>
    <t>Minimum intervention Scots pine</t>
  </si>
  <si>
    <t>Natural regeneration Scots pine</t>
  </si>
  <si>
    <t>Staff/contractor onsite welfare</t>
  </si>
  <si>
    <t>Grants</t>
  </si>
  <si>
    <t>Income/             Costs (%)</t>
  </si>
  <si>
    <t xml:space="preserve">Tree Shelter Removal +10 years after planting/restock </t>
  </si>
  <si>
    <t>Single project</t>
  </si>
  <si>
    <t>November 2022</t>
  </si>
  <si>
    <t>Updating Income Forgone England Cattle and Sheep (Lowland), Income Forgone Scotland Cattle and Sheep (LFA), threshold for fence length in costs, other minor inconsistencies.</t>
  </si>
  <si>
    <t>2.2.1</t>
  </si>
  <si>
    <t>Are you using the Woodland Carbon Guarantee (WCaG)?</t>
  </si>
  <si>
    <t>Are you verifying 5-yearly or 10-yearly?</t>
  </si>
  <si>
    <t>Select Country</t>
  </si>
  <si>
    <t>Yes</t>
  </si>
  <si>
    <t>Cap on Pre-Planting Survey Work</t>
  </si>
  <si>
    <t>Fixed amount up to 10ha</t>
  </si>
  <si>
    <t>** This is not the master - see Vicky's other version</t>
  </si>
  <si>
    <t>Updated to 2023 current prices however</t>
  </si>
  <si>
    <t>No</t>
  </si>
  <si>
    <t>Spiral and cane purchase and installation</t>
  </si>
  <si>
    <t>1.2 Tree Shelter &amp; Stake Year 0</t>
  </si>
  <si>
    <t>Spiral and cane tree shelter Year 0</t>
  </si>
  <si>
    <t>Discount Factor (3.5%)</t>
  </si>
  <si>
    <t>For reference only. This tab presents all of the information you have provided in the Data Entry tab in a discounted cashflow to determine whether or not your project is currently financially additional.</t>
  </si>
  <si>
    <t>For reference only. This tab outlines the standard costs used in the cashflow.</t>
  </si>
  <si>
    <t>Vole guards %</t>
  </si>
  <si>
    <t>Stock fencing</t>
  </si>
  <si>
    <t>Deer fencing</t>
  </si>
  <si>
    <t>Net area (hectares)</t>
  </si>
  <si>
    <t>Project start year</t>
  </si>
  <si>
    <t>Project duration (years)</t>
  </si>
  <si>
    <t>Date of calculation</t>
  </si>
  <si>
    <t>Name of person completing cashflow</t>
  </si>
  <si>
    <t>Project name</t>
  </si>
  <si>
    <t>Green cells indicate user input required</t>
  </si>
  <si>
    <t>Planning grant</t>
  </si>
  <si>
    <t>Capital grant</t>
  </si>
  <si>
    <t>Maintenance payments</t>
  </si>
  <si>
    <t>Woodland creation management planning and design</t>
  </si>
  <si>
    <t>Length (m)</t>
  </si>
  <si>
    <t>Other regular payments/sponsorships/donations (specify)</t>
  </si>
  <si>
    <t>Other grant (specify)</t>
  </si>
  <si>
    <t>One-off payments/sponsorships/donations (specify)</t>
  </si>
  <si>
    <t>Year received</t>
  </si>
  <si>
    <t>Blue cells provide further information</t>
  </si>
  <si>
    <t>Timber road building (can support heavy timber haulage)</t>
  </si>
  <si>
    <t>Track creation (cannot support heavy timber haulage)</t>
  </si>
  <si>
    <t>**40m/hectare minus road length</t>
  </si>
  <si>
    <t>**20m/hectare</t>
  </si>
  <si>
    <t>**Enter area where squirrel control will be required</t>
  </si>
  <si>
    <t>**Must add up to total net area</t>
  </si>
  <si>
    <t>**Must add up to total net area. For areas planted at a wider spacing, please use the “actual” area planted rather than the “effective” area</t>
  </si>
  <si>
    <t>Net area (ha)</t>
  </si>
  <si>
    <t>Fertiliser purchase and application</t>
  </si>
  <si>
    <t>Total conifers</t>
  </si>
  <si>
    <t>Total broadleaves</t>
  </si>
  <si>
    <t>Total net area</t>
  </si>
  <si>
    <t>Will you continue to claim the Basic Payment Scheme (BPS)?</t>
  </si>
  <si>
    <t>**Ensure total area equals assumed gross area (Cell B10)</t>
  </si>
  <si>
    <t>PIUs to Buffer (tCO2e)</t>
  </si>
  <si>
    <t>Total Check:</t>
  </si>
  <si>
    <t>Section 1: Project details</t>
  </si>
  <si>
    <t>A. Pre-planting work</t>
  </si>
  <si>
    <t>B. Infrastructure</t>
  </si>
  <si>
    <t>C. Site preparation</t>
  </si>
  <si>
    <t>E. Species, spacing and tree protection</t>
  </si>
  <si>
    <t>F. Ongoing costs</t>
  </si>
  <si>
    <t>Section 3: Income</t>
  </si>
  <si>
    <t>A. Grant support</t>
  </si>
  <si>
    <t>B. Other regular payments/sponsorships/donations</t>
  </si>
  <si>
    <t>C. Other one-off payments/sponsorships/donations</t>
  </si>
  <si>
    <t>Section 5: Carbon sequestration</t>
  </si>
  <si>
    <t>D. Ground preparation</t>
  </si>
  <si>
    <t>**Acknowledging that all projects are either insured directly, or self-insure</t>
  </si>
  <si>
    <t>**Acknowledging that all projects need some form of ongoing deer management</t>
  </si>
  <si>
    <t>Country:</t>
  </si>
  <si>
    <t>England - Magic Map -&gt; Designations -&gt; Land-Based Designations -&gt; Statutory -&gt;Less Favoured Areas (England)</t>
  </si>
  <si>
    <t>England - Magic Map -&gt; Landscape -&gt; Landscape Classifications -&gt; Agricultural Land Classicification - Provisional (England)</t>
  </si>
  <si>
    <t>Scotland's Environment Web -&gt; Add Map Data Layers -&gt; Search "Less Favoured Areas" (zoom in close)</t>
  </si>
  <si>
    <t>Scotland's Environment Web -&gt; Add Map Data Layers -&gt; Search "National Scale Land Capability for Agriculture 1:250 000" and for more detail in some areas "Land Capability for Agriculture Partial Cover 1:50,000".  Where the 1:50,000 map exists, use that version.</t>
  </si>
  <si>
    <t>Data Map Wales -&gt; Add Layer -&gt; Search "Less Favoured Areas"</t>
  </si>
  <si>
    <t>Data Map Wales -&gt; Add Layer -&gt; Search "Predictive Agricultural Land Classification (ALC) Map 2"</t>
  </si>
  <si>
    <t>Please provide your DAERA farm map which provides Land Type (1 - Severely Disadvantaged (SA), 2 - Disadvantaged (DA) or 3 - Lowland (LL))</t>
  </si>
  <si>
    <t>Please provide your DAERA farm map which provides Land Capability for Agriculture Class</t>
  </si>
  <si>
    <t>Farm/landuse type</t>
  </si>
  <si>
    <t>Cattle and sheep (Lowland)</t>
  </si>
  <si>
    <t>Gross area including 10% open ground (ha)</t>
  </si>
  <si>
    <t>Data sources for Less Favoured Area (LFA) and Land Capability for Agriculture (LCA) data:</t>
  </si>
  <si>
    <t>Mapping link - Less Favoured Area (LFA):</t>
  </si>
  <si>
    <t>Mapping link - Land Capability for Agriculture (LCA):</t>
  </si>
  <si>
    <t>Version 1: For projects NOT applying to the Woodland Carbon Guarantee in England</t>
  </si>
  <si>
    <t>Version 3: For projects applying to the Woodland Carbon Guarantee in England, wishing to claim at 5-yearly verifications</t>
  </si>
  <si>
    <t>Version 2: For projects applying to the Woodland Carbon Guarantee in England, wishing to claim at 10-yearly verifications</t>
  </si>
  <si>
    <t>Standardised costs and incomes where possible to ensure consistency, predictability and robustness across all projects. Reintegrated Income Forgone/Current Landuse and Forestry scenarios.</t>
  </si>
  <si>
    <t>Andrew Baker</t>
  </si>
  <si>
    <t>0.5% of crop value</t>
  </si>
  <si>
    <t>Average price in real terms (2024 prices, £ per m3 over bark, 5-year average)</t>
  </si>
  <si>
    <t>Coniferous Standing Sales Price Index, 2024</t>
  </si>
  <si>
    <t>Tube and stake purchase and installation</t>
  </si>
  <si>
    <t>15% of total area year 1, 10% of total area year 2, 5% of total area year 3, repeated at each restock</t>
  </si>
  <si>
    <t>Broadleaves thinning volumes/prices</t>
  </si>
  <si>
    <t>Conifers thinning volumes/prices</t>
  </si>
  <si>
    <t>Conifers clearfell volumes/prices</t>
  </si>
  <si>
    <t xml:space="preserve">Scots pine </t>
  </si>
  <si>
    <t>Timber volumes</t>
  </si>
  <si>
    <t>Forest Yield - thinning volume based on intermediate thinning</t>
  </si>
  <si>
    <t>Grown in Britain - Sycamore data sheet. Average tree size from Forest Yield * Standing value 2022 and 2023 prices inflated to 2024 prices</t>
  </si>
  <si>
    <t>No clearfell for broadleaves</t>
  </si>
  <si>
    <t>Upfront (PIUs)</t>
  </si>
  <si>
    <t>2023 Price £/tCO2e</t>
  </si>
  <si>
    <t>Clearfell/thinning age</t>
  </si>
  <si>
    <t>Yield class</t>
  </si>
  <si>
    <t>Max insurance value based on clearfell age - 2025</t>
  </si>
  <si>
    <t>Woodland Creation Planning Grant (England)</t>
  </si>
  <si>
    <t>Average of plant catalogues and EWCO Standard Cost 'Supplement for use of individual tree shelters'</t>
  </si>
  <si>
    <t>Average of plant catalogues and EWCO Standard Cost 'Supplement for use of individual tree wraps'</t>
  </si>
  <si>
    <t>Grant rates plus sector feedback</t>
  </si>
  <si>
    <t>Average of current costs for OF&amp;G and SA for single project verification</t>
  </si>
  <si>
    <t>Type of farm</t>
  </si>
  <si>
    <t>Comments/source</t>
  </si>
  <si>
    <t>Data sources</t>
  </si>
  <si>
    <t>Agricultural income</t>
  </si>
  <si>
    <t>"Grazing Livestock (Lowland)" in Welsh dataset</t>
  </si>
  <si>
    <t>"LFA Cattle and Sheep" for FBI, "DA Cattle and Sheep" for BPS in NI dataset</t>
  </si>
  <si>
    <t>"Lowland Cattle and Sheep" in NI Dataset</t>
  </si>
  <si>
    <t>"Lowland Cattle and Sheep" in Scottish dataset</t>
  </si>
  <si>
    <t>Number of years BPS continues</t>
  </si>
  <si>
    <t>Use of the WCC Cashflow and validation of your project does not imply endorsement by Scottish Forestry of the value of any investment.</t>
  </si>
  <si>
    <t>Data entry</t>
  </si>
  <si>
    <t>Cost data</t>
  </si>
  <si>
    <t>Income data</t>
  </si>
  <si>
    <t>Income forgone and BPS data</t>
  </si>
  <si>
    <t>CARBON INCOME</t>
  </si>
  <si>
    <t>Tree protection removal</t>
  </si>
  <si>
    <t>Vole guards</t>
  </si>
  <si>
    <t>Deer control</t>
  </si>
  <si>
    <t>Squirrel control</t>
  </si>
  <si>
    <t>£0.17/position, assuming 2500 stems/ha</t>
  </si>
  <si>
    <t>Averaged from SF grant, EWCO rate and plant catalogues</t>
  </si>
  <si>
    <t>Stakeholder feedback</t>
  </si>
  <si>
    <t>Feedback from FLS Civil Engineering</t>
  </si>
  <si>
    <t>Feedback from sector, includes minimum visitor management for H&amp;S</t>
  </si>
  <si>
    <t>56.5p/metre and 150m drains/ha</t>
  </si>
  <si>
    <t>Consistence with fence &amp; track maintenance</t>
  </si>
  <si>
    <t>Minimum insurance premium based on 0.5% of restock value. Feedback from insurers and sector.</t>
  </si>
  <si>
    <t>Feedback from sector</t>
  </si>
  <si>
    <t>Admin Validation and Verification</t>
  </si>
  <si>
    <t>**Online map on the WCC website coming very soon!</t>
  </si>
  <si>
    <t>** Assumes all carbon units sold upfront at £23.30 each</t>
  </si>
  <si>
    <t>** Assuming consistent prices for carbon and timber allows comparison of the relative impact of these incomes. As and when better carbon and timber price information becomes available, this cashflow will be updated.</t>
  </si>
  <si>
    <t>** See 'Income Data' for assumptions about carbon and timber prices</t>
  </si>
  <si>
    <t>Financial test result</t>
  </si>
  <si>
    <t>Financial test</t>
  </si>
  <si>
    <t>NPV woodland excluding carbon:</t>
  </si>
  <si>
    <t>NPV alternative landuse:</t>
  </si>
  <si>
    <t xml:space="preserve">Financial test outcome: </t>
  </si>
  <si>
    <t>FAQs</t>
  </si>
  <si>
    <t>For reference only. This tab outlines the standard incomes used in the cashflow.</t>
  </si>
  <si>
    <t>Tabs in this spreadsheet:</t>
  </si>
  <si>
    <t>Gross area - assumes gross area includes 10% open ground (hectares)</t>
  </si>
  <si>
    <t>Section 2: Project costs</t>
  </si>
  <si>
    <t>**Acknowledging that all projects have costs associated with project planning and design</t>
  </si>
  <si>
    <t>Vehicle access gates</t>
  </si>
  <si>
    <t>Pedestrian gates</t>
  </si>
  <si>
    <t>Woodland creation planning costs</t>
  </si>
  <si>
    <t>Woodland creation management planning/surveys - up to 10ha</t>
  </si>
  <si>
    <t>Woodland creation management planning/surveys - area above 10ha</t>
  </si>
  <si>
    <t>Scrub control &lt; 7cm dbh</t>
  </si>
  <si>
    <t>Bracken control</t>
  </si>
  <si>
    <t>Gorse removal</t>
  </si>
  <si>
    <t>Other conifer</t>
  </si>
  <si>
    <t>Site preparation</t>
  </si>
  <si>
    <t>Ground preparation</t>
  </si>
  <si>
    <t>Sapling purchase</t>
  </si>
  <si>
    <t>Sapling planting</t>
  </si>
  <si>
    <t>Tree protection</t>
  </si>
  <si>
    <t>Weeding and beating up</t>
  </si>
  <si>
    <t>Roads and tracks</t>
  </si>
  <si>
    <t>WCC costs</t>
  </si>
  <si>
    <t>Insurance premium/ha</t>
  </si>
  <si>
    <t>Deer fencing up to 1,585m (sufficient to fence 20ha gross area)</t>
  </si>
  <si>
    <t>Deer fencing above 1,585m (sufficient to fence 20ha gross area)</t>
  </si>
  <si>
    <t>Timber supporting road building</t>
  </si>
  <si>
    <t>Track creation</t>
  </si>
  <si>
    <t>Drains maintenance</t>
  </si>
  <si>
    <t>Fence maintenance</t>
  </si>
  <si>
    <t>Road maintenance</t>
  </si>
  <si>
    <t>Track maintenance</t>
  </si>
  <si>
    <t>Insurance - minimum premium</t>
  </si>
  <si>
    <t>Validation - administration cost</t>
  </si>
  <si>
    <t>Y5 Verification - administration cost</t>
  </si>
  <si>
    <t>Y5 Verification - verification fee</t>
  </si>
  <si>
    <t>Validation fee</t>
  </si>
  <si>
    <t>Y15+ Verification - administration cost</t>
  </si>
  <si>
    <t>Y15+ Verification - verification fee</t>
  </si>
  <si>
    <t>PIU issuance</t>
  </si>
  <si>
    <t>WCC levy</t>
  </si>
  <si>
    <t>PIU to WCU conversion</t>
  </si>
  <si>
    <t>Y5 Verification - survey</t>
  </si>
  <si>
    <t>Y15+ Verification - survey</t>
  </si>
  <si>
    <t>Conifers - 0.5% of value of crop (based on value of crop up to clearfell value, minimum £35/ha)</t>
  </si>
  <si>
    <t>Per project (single)</t>
  </si>
  <si>
    <t>Per project (grouped)</t>
  </si>
  <si>
    <t>Per unit</t>
  </si>
  <si>
    <t>Per hectare rate if over 10ha</t>
  </si>
  <si>
    <t>£100 (PIU issuance plus WCC levy)</t>
  </si>
  <si>
    <t>£100 single project, £14.29 group of projects</t>
  </si>
  <si>
    <t>Broadleaves, SP minimum intervention or natural regeneration</t>
  </si>
  <si>
    <t>NS/other conifer</t>
  </si>
  <si>
    <t>Small woods reduced survey cost if using small woods calculator</t>
  </si>
  <si>
    <t xml:space="preserve">EWCO standard cost for chemical bracken control </t>
  </si>
  <si>
    <t>EWCO standard cost for scarification for natural colonisation</t>
  </si>
  <si>
    <t>£0.226/position, assuming 2500 stems/ha</t>
  </si>
  <si>
    <t>£1.13/m assuming 150m drains/ha - Scottish grant cost/limit</t>
  </si>
  <si>
    <t>England Woodland Creation Offer (EWCO) standard cost for chemical bracken control</t>
  </si>
  <si>
    <t>Sector feedback</t>
  </si>
  <si>
    <t>Scottish grant cost uplifted to 100% plus inflation</t>
  </si>
  <si>
    <t>Cost of auto trap at £60 - cost of installation £40 - one trap per hectare</t>
  </si>
  <si>
    <t>Averaged from three SF grant rates for different tree stocking densities</t>
  </si>
  <si>
    <t>Averaged from Scottish Forestry (SF) grant, EWCO rate and plant catalogues</t>
  </si>
  <si>
    <t>Average of EWCO standard cost 'Post and wire fencing' and Welsh grant fencing rates</t>
  </si>
  <si>
    <t>Feedback from Forestry and Land Scotland (FLS) civil engineering</t>
  </si>
  <si>
    <t>Feedback from FLS civil engineering</t>
  </si>
  <si>
    <t>WCC costs from 1/11/2024</t>
  </si>
  <si>
    <t>Ongoing management costs</t>
  </si>
  <si>
    <t>**Acknowledging that all projects have ongoing management costs</t>
  </si>
  <si>
    <t>**If you do not receive a formal grant contract then please contact the WCC team for information on how to complete your income section</t>
  </si>
  <si>
    <t>**Grants - enter grant value for the project as a whole. Provide grant contract(s) as proof. Please ensure you have confirmed with the relevant grant team(s) how much you are hoping to claim as early as possible</t>
  </si>
  <si>
    <t>**Based on project start date</t>
  </si>
  <si>
    <t>**Enter annual value(s) followed by the number of years it will be paid for</t>
  </si>
  <si>
    <t>**Select "Yes" if you are planning on claiming BPS post-planting</t>
  </si>
  <si>
    <t>**Enter annual value(s) followed by the number of years it will be received</t>
  </si>
  <si>
    <t>**Enter one-time value(s) followed by the year it will be received</t>
  </si>
  <si>
    <t>**Where woodland creation area is classed as 'Less Favoured Area' (Disadvantaged or Severely Disadvantaged) and Land Capability for Agriculture Class 4+</t>
  </si>
  <si>
    <t>**Copy and Special Paste (values only) from your carbon calculator to the green table below to calculate carbon income and costs. Does not affect financial additionality determination</t>
  </si>
  <si>
    <t>Section 4: Alternative landuse</t>
  </si>
  <si>
    <t>**Where woodland creation area is not 'Less Favoured Area' and is Land Capability for Agriculture Class 4+</t>
  </si>
  <si>
    <t>Calendar year</t>
  </si>
  <si>
    <t>Planting, establishment and management costs</t>
  </si>
  <si>
    <t>Annual/other costs</t>
  </si>
  <si>
    <t>Woodland Carbon Code costs</t>
  </si>
  <si>
    <t>Total costs</t>
  </si>
  <si>
    <t>Timber/woodfuel</t>
  </si>
  <si>
    <t>Woodland creation planning</t>
  </si>
  <si>
    <t>Bracken/scrub/gorse removal</t>
  </si>
  <si>
    <t>Ground preparation - hand screefing</t>
  </si>
  <si>
    <t>Ground preparation - scarification</t>
  </si>
  <si>
    <t>Ground preparation - mounding</t>
  </si>
  <si>
    <t>Ground preparation - ploughing</t>
  </si>
  <si>
    <t>Drains - creation and maintenance</t>
  </si>
  <si>
    <t>Road building</t>
  </si>
  <si>
    <t>Sapling purchase - conifer</t>
  </si>
  <si>
    <t>Sapling purchase - broadleaf</t>
  </si>
  <si>
    <t>Planting - conifer</t>
  </si>
  <si>
    <t>Planting - broadleaf</t>
  </si>
  <si>
    <t>Purchase and installation of tree shelters/spirals</t>
  </si>
  <si>
    <t>Beating up conifers</t>
  </si>
  <si>
    <t>Beating up broadleaves</t>
  </si>
  <si>
    <t>Tree shelter removal</t>
  </si>
  <si>
    <t>Ongoing management</t>
  </si>
  <si>
    <t>Squirrel control at year 15</t>
  </si>
  <si>
    <t>Unit issuance and conversion</t>
  </si>
  <si>
    <t>Validation and verification</t>
  </si>
  <si>
    <t>Administrative cost</t>
  </si>
  <si>
    <t>Maintenance grant</t>
  </si>
  <si>
    <t>Basic Payment Scheme payments</t>
  </si>
  <si>
    <t>This tab shows the results of the financial test and information about the relative share of different income sources which you will need to transfer to your Project Design Document. These values are presented as "Net Present Values" (NPV), which means that future costs and incomes have been discounted back to the present day.</t>
  </si>
  <si>
    <t>Sitka spruce - thinned</t>
  </si>
  <si>
    <t>Scots pine - thinned</t>
  </si>
  <si>
    <t>Norway spruce - thinned</t>
  </si>
  <si>
    <t>As and when more accurate price information becomes available we will update the carbon value used.</t>
  </si>
  <si>
    <t>Farm Business Income (FBI - excluding diversification) in 2024 prices (averaged over 5 years)</t>
  </si>
  <si>
    <t>5-Yearly</t>
  </si>
  <si>
    <t>Example Project</t>
  </si>
  <si>
    <t>Copy financial test results and the 'Share of Income by Source' table into your project design document</t>
  </si>
  <si>
    <t>NPV woodland including carbon (for information only):</t>
  </si>
  <si>
    <t>Midpoint of upper quartile and average figures from "LFA Cattle and Sheep" in Scottish dataset</t>
  </si>
  <si>
    <t>**Total fence length shall not exceed the maximum length eligible for funding under your grant contract. If you do not receive a grant please contact the Woodland Carbon Code team for more information</t>
  </si>
  <si>
    <t>1. Which cashflow version should I use?</t>
  </si>
  <si>
    <t>2. Why do we need financial additionality?</t>
  </si>
  <si>
    <t>4. Why is there a cap on tracks/roads? And why is road building locked at year 15?</t>
  </si>
  <si>
    <t>5. Why can't I use my own costs?</t>
  </si>
  <si>
    <t>6. Why are management regimes and yield classes locked?</t>
  </si>
  <si>
    <t>8. How often will the data in the spreadsheet be updated?</t>
  </si>
  <si>
    <t>Frequently asked questions. This tab provides background and context to the financial additionality test used.</t>
  </si>
  <si>
    <t>For reference only. This tab outlines the standard income forgone and Basic Payment Scheme (BPS) data used in the cashflow.</t>
  </si>
  <si>
    <t>Please enter all relevant details from your project into the green cells on this tab. The data you enter is combined with standardised costs and income to generate a project-specific cashflow. Projects shall provide proof of all activities undertaken on site.</t>
  </si>
  <si>
    <t>Total fence</t>
  </si>
  <si>
    <r>
      <t xml:space="preserve">Average tree spacing (m)                                                     </t>
    </r>
    <r>
      <rPr>
        <i/>
        <sz val="10"/>
        <rFont val="Verdana"/>
        <family val="2"/>
      </rPr>
      <t xml:space="preserve">  </t>
    </r>
    <r>
      <rPr>
        <sz val="10"/>
        <rFont val="Verdana"/>
        <family val="2"/>
      </rPr>
      <t>Enter a number between 0.0 and 5.0 m spacing</t>
    </r>
  </si>
  <si>
    <r>
      <t xml:space="preserve">Tree shelters %
</t>
    </r>
    <r>
      <rPr>
        <sz val="10"/>
        <rFont val="Verdana"/>
        <family val="2"/>
      </rPr>
      <t>Stake and tube</t>
    </r>
  </si>
  <si>
    <r>
      <t xml:space="preserve">Tree shelters %
</t>
    </r>
    <r>
      <rPr>
        <sz val="10"/>
        <rFont val="Verdana"/>
        <family val="2"/>
      </rPr>
      <t>Spiral and cane</t>
    </r>
  </si>
  <si>
    <t>Sitka spruce thin, clearfell or continuous cover forestry (CCF)</t>
  </si>
  <si>
    <t>**Where woodland creation area is Land Capability for Agriculture Class 1-3 or classed as Urban/Non-agricultural</t>
  </si>
  <si>
    <t xml:space="preserve">As part of our current consultation we are proposing to update the data in the cashflow annually. </t>
  </si>
  <si>
    <t>Sapling purchase and planting cost</t>
  </si>
  <si>
    <t>Average of current costs for Organic Farmer and Growers (OF&amp;G) and the Soil Association (SA) for single project verification</t>
  </si>
  <si>
    <t>Disclaimer of warranty</t>
  </si>
  <si>
    <t>WCC Cashflow Tab: Added the Current Landuse Scenario Tab and Carbon Income and Costs Tab to feed into the Woodland Scenario. Other changes for clarity.</t>
  </si>
  <si>
    <t>Version date</t>
  </si>
  <si>
    <t>Woodland Carbon Code website</t>
  </si>
  <si>
    <t>Registration - administration cost</t>
  </si>
  <si>
    <t>https://www.gov.scot/collections/scottish-farm-business-income-fbi-annual-estimates/</t>
  </si>
  <si>
    <t>Farm Incomes in Northern Ireland 2004 onwards | Department of Agriculture, Environment and Rural Affairs</t>
  </si>
  <si>
    <t>Average Basic Payment Scheme (BPS) payments in 2024 prices (averaged over 5 years)</t>
  </si>
  <si>
    <t>Weighted average of "Cereal" and "General Cropping" categories in English dataset</t>
  </si>
  <si>
    <t>"Cereal" category in NI dataset</t>
  </si>
  <si>
    <t>Weighted average of "Cereal" and "General Cropping" categories in Scottish dataset</t>
  </si>
  <si>
    <t>"Grazing Livestock (LFA)" in English dataset</t>
  </si>
  <si>
    <t>"Grazing Livestock LFA" in Welsh dataset</t>
  </si>
  <si>
    <t>"Cropping" category in Welsh dataset updated using average rate of change for LFA and Lowland values due to lack of data</t>
  </si>
  <si>
    <t>Estimated cost of administration by third party or in own time (sector feedback)</t>
  </si>
  <si>
    <t>Please check the Woodland Carbon Code (WCC) website to confirm which version of the WCC cashflow should be used for your project.</t>
  </si>
  <si>
    <t xml:space="preserve">A fundamental principle of carbon markets is financial additionality. Buyers of carbon units need confidence that their investment has led to more carbon being sequestered than would otherwise have happened under a 'business as usual' scenario — in other words, that it has resulted in additional woodland creation. To ensure this, carbon standard bodies apply robust additionality tests that uphold the credibility of the carbon credits issued. </t>
  </si>
  <si>
    <t>3. Can I plant commercial conifers and still remain eligible for the Woodland Carbon Code?</t>
  </si>
  <si>
    <t xml:space="preserve">We use standardised costs to create a clear, objective basis for assessing all projects under the Woodland Carbon Code. Allowing each applicant to input their own figures could introduce a lot of variation, making it difficult to have confidence that all projects are assessed consistently. 
This approach also helps avoid unintentionally skewing the financial case for a project — especially where cost estimates might be optimistic or hard to evidence. While we recognise that actual costs on the ground may differ, using standard values helps us apply the additionality test in a fair and transparent way. </t>
  </si>
  <si>
    <t xml:space="preserve">We fix yield classes and management regimes in the financial model to provide a consistent and realistic assessment of how different species typically perform. This helps ensure that projected returns reflect the productive potential of the woodland, rather than being based on overly cautious or optimistic assumptions. 
By using standard assumptions, we can assess projects more objectively and protect the integrity of the Woodland Carbon Code. </t>
  </si>
  <si>
    <t xml:space="preserve">We apply a cap to tracks and roads, and fix the cost of building roads at year 15 in the financial model, to ensure a consistent and fair approach across all projects. Without these limits, there could be a risk of overestimating infrastructure costs — particularly early in a project — which could artificially inflate the financial need of a project and affect the additionality assessment. 
Standardising costs and timing allows a more consistent approach across projects and maintains the credibility of the Woodland Carbon Code.  </t>
  </si>
  <si>
    <t>7. Why can't I input a higher gross area than the one automatically calculated?</t>
  </si>
  <si>
    <t xml:space="preserve">The gross area of the site is important as it is used to calculate the income forgone for the project, i.e. how much money from the existing use of the land is being "given up" to commit to woodland creation instead. It is assumed that the gross area makes up 10% of the total project area, based on the net planted area provided, as this is the minimum amount of open ground required under the UK Forestry Standard. 
We appreciate that some projects may have larger areas of open ground than this and understandably want to include this in their income forgone calculation. Unfortunately it can get very tricky to "prove" that this larger area of open ground is forgoing any other income for the entire lifetime of the project, which means that a 10% rate applied to all projects is the fairest way of assessing projects consistently. </t>
  </si>
  <si>
    <t>Frequently asked questions</t>
  </si>
  <si>
    <t xml:space="preserve">Updated costs, income forgone and timber values. Removed specific cap for fencing, instead basing cost of fencing on grant contract. Insurance premium reduced to 0.5% of value of crop. Provided definition for roads vs tracks. For tree protection, allowed for specific percentage values to be entered. Added new category for tree protection - spirals and canes. Added Frequently Asked Questions (FAQs) tab. </t>
  </si>
  <si>
    <t>Name</t>
  </si>
  <si>
    <t>April 2025</t>
  </si>
  <si>
    <t>Draft V3.0</t>
  </si>
  <si>
    <t xml:space="preserve">You can certainly plant commercial conifers and still be eligible under the Woodland Carbon Code. The best approach could be to complete the cashflow as early as possible in the woodland design process, detailing the planned species composition and the likely costs and incomes. This will then allow you to see how much grant you could still access while remaining financially additional, and whether your woodland design might need to be adjusted.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</si>
</sst>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6" formatCode="&quot;£&quot;#,##0;[Red]\-&quot;£&quot;#,##0"/>
    <numFmt numFmtId="7" formatCode="&quot;£&quot;#,##0.00;\-&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_-* #,##0_-;\-* #,##0_-;_-* &quot;-&quot;??_-;_-@_-"/>
    <numFmt numFmtId="166" formatCode="0.0%"/>
    <numFmt numFmtId="167" formatCode="[$-809]dd\ mmmm\ yyyy;@"/>
    <numFmt numFmtId="168" formatCode="dd/mm/yy;@"/>
    <numFmt numFmtId="169" formatCode="[$-409]d\-mmm\-yy;@"/>
    <numFmt numFmtId="170" formatCode="[$-F800]dddd\,\ mmmm\ dd\,\ yyyy"/>
    <numFmt numFmtId="171" formatCode="&quot;£&quot;#,##0.00"/>
    <numFmt numFmtId="172" formatCode="&quot;$&quot;#,##0\ ;\(&quot;$&quot;#,##0\)"/>
    <numFmt numFmtId="173" formatCode="#,##0_ ;\-#,##0\ "/>
    <numFmt numFmtId="174" formatCode="0.0000"/>
  </numFmts>
  <fonts count="43" x14ac:knownFonts="1">
    <font>
      <sz val="10"/>
      <name val="Verdana"/>
    </font>
    <font>
      <sz val="10"/>
      <name val="Verdana"/>
      <family val="2"/>
    </font>
    <font>
      <sz val="8"/>
      <name val="Verdana"/>
      <family val="2"/>
    </font>
    <font>
      <b/>
      <sz val="10"/>
      <name val="Verdana"/>
      <family val="2"/>
    </font>
    <font>
      <b/>
      <u/>
      <sz val="10"/>
      <name val="Verdana"/>
      <family val="2"/>
    </font>
    <font>
      <i/>
      <sz val="10"/>
      <name val="Verdana"/>
      <family val="2"/>
    </font>
    <font>
      <i/>
      <u/>
      <sz val="10"/>
      <name val="Verdana"/>
      <family val="2"/>
    </font>
    <font>
      <u/>
      <sz val="10"/>
      <color indexed="12"/>
      <name val="Verdana"/>
      <family val="2"/>
    </font>
    <font>
      <sz val="10"/>
      <name val="Verdana"/>
      <family val="2"/>
    </font>
    <font>
      <sz val="10"/>
      <name val="Verdana"/>
      <family val="2"/>
    </font>
    <font>
      <b/>
      <i/>
      <sz val="10"/>
      <name val="Verdana"/>
      <family val="2"/>
    </font>
    <font>
      <b/>
      <sz val="12"/>
      <name val="Verdana"/>
      <family val="2"/>
    </font>
    <font>
      <sz val="12"/>
      <name val="Arial"/>
      <family val="2"/>
    </font>
    <font>
      <sz val="12"/>
      <name val="Verdana"/>
      <family val="2"/>
    </font>
    <font>
      <u/>
      <sz val="10"/>
      <name val="Verdana"/>
      <family val="2"/>
    </font>
    <font>
      <b/>
      <i/>
      <u/>
      <sz val="10"/>
      <name val="Verdana"/>
      <family val="2"/>
    </font>
    <font>
      <sz val="10"/>
      <name val="Arial"/>
      <family val="2"/>
    </font>
    <font>
      <sz val="10"/>
      <color indexed="24"/>
      <name val="Arial"/>
      <family val="2"/>
    </font>
    <font>
      <b/>
      <sz val="18"/>
      <color indexed="24"/>
      <name val="Arial"/>
      <family val="2"/>
    </font>
    <font>
      <b/>
      <sz val="12"/>
      <color indexed="24"/>
      <name val="Arial"/>
      <family val="2"/>
    </font>
    <font>
      <u/>
      <sz val="10"/>
      <color indexed="12"/>
      <name val="Arial"/>
      <family val="2"/>
    </font>
    <font>
      <b/>
      <sz val="16"/>
      <name val="Verdana"/>
      <family val="2"/>
    </font>
    <font>
      <sz val="10"/>
      <name val="Verdana"/>
      <family val="2"/>
    </font>
    <font>
      <sz val="12"/>
      <name val="Arial"/>
      <family val="2"/>
    </font>
    <font>
      <sz val="12"/>
      <name val="Times New Roman"/>
      <family val="1"/>
    </font>
    <font>
      <b/>
      <sz val="11"/>
      <color indexed="8"/>
      <name val="Calibri"/>
      <family val="2"/>
    </font>
    <font>
      <b/>
      <sz val="14"/>
      <name val="Verdana"/>
      <family val="2"/>
    </font>
    <font>
      <sz val="16"/>
      <name val="Verdana"/>
      <family val="2"/>
    </font>
    <font>
      <sz val="11"/>
      <color theme="1"/>
      <name val="Calibri"/>
      <family val="2"/>
      <scheme val="minor"/>
    </font>
    <font>
      <sz val="11"/>
      <color indexed="8"/>
      <name val="Calibri"/>
      <family val="2"/>
      <scheme val="minor"/>
    </font>
    <font>
      <b/>
      <sz val="11"/>
      <color theme="1"/>
      <name val="Calibri"/>
      <family val="2"/>
      <scheme val="minor"/>
    </font>
    <font>
      <u/>
      <sz val="10"/>
      <color theme="0"/>
      <name val="Verdana"/>
      <family val="2"/>
    </font>
    <font>
      <sz val="10"/>
      <color theme="0"/>
      <name val="Verdana"/>
      <family val="2"/>
    </font>
    <font>
      <sz val="9"/>
      <color theme="0"/>
      <name val="Verdana"/>
      <family val="2"/>
    </font>
    <font>
      <b/>
      <sz val="10"/>
      <color theme="0"/>
      <name val="Verdana"/>
      <family val="2"/>
    </font>
    <font>
      <b/>
      <sz val="14"/>
      <color rgb="FFFF0000"/>
      <name val="Verdana"/>
      <family val="2"/>
    </font>
    <font>
      <sz val="10"/>
      <color rgb="FFFF0000"/>
      <name val="Verdana"/>
      <family val="2"/>
    </font>
    <font>
      <sz val="10"/>
      <color rgb="FFFFFF00"/>
      <name val="Verdana"/>
      <family val="2"/>
    </font>
    <font>
      <sz val="10"/>
      <name val="Verdana"/>
      <family val="2"/>
    </font>
    <font>
      <sz val="10"/>
      <color theme="1"/>
      <name val="Verdana"/>
      <family val="2"/>
    </font>
    <font>
      <b/>
      <sz val="11"/>
      <color theme="1"/>
      <name val="Verdana"/>
      <family val="2"/>
    </font>
    <font>
      <b/>
      <sz val="11"/>
      <name val="Verdana"/>
      <family val="2"/>
    </font>
    <font>
      <b/>
      <sz val="10"/>
      <color theme="1"/>
      <name val="Verdana"/>
      <family val="2"/>
    </font>
  </fonts>
  <fills count="27">
    <fill>
      <patternFill patternType="none"/>
    </fill>
    <fill>
      <patternFill patternType="gray125"/>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6" tint="0.79998168889431442"/>
        <bgColor indexed="64"/>
      </patternFill>
    </fill>
    <fill>
      <patternFill patternType="solid">
        <fgColor theme="6" tint="0.39994506668294322"/>
        <bgColor indexed="64"/>
      </patternFill>
    </fill>
    <fill>
      <patternFill patternType="solid">
        <fgColor rgb="FF0070C0"/>
        <bgColor indexed="64"/>
      </patternFill>
    </fill>
    <fill>
      <patternFill patternType="solid">
        <fgColor theme="6" tint="-0.2499465926084170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rgb="FF92D050"/>
        <bgColor indexed="64"/>
      </patternFill>
    </fill>
    <fill>
      <patternFill patternType="solid">
        <fgColor theme="0" tint="-0.2499465926084170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24994659260841701"/>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rgb="FFFFC00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6337778862885"/>
        <bgColor indexed="64"/>
      </patternFill>
    </fill>
    <fill>
      <patternFill patternType="solid">
        <fgColor theme="9" tint="0.59999389629810485"/>
        <bgColor indexed="64"/>
      </patternFill>
    </fill>
    <fill>
      <patternFill patternType="solid">
        <fgColor rgb="FFFFFF99"/>
        <bgColor indexed="64"/>
      </patternFill>
    </fill>
  </fills>
  <borders count="100">
    <border>
      <left/>
      <right/>
      <top/>
      <bottom/>
      <diagonal/>
    </border>
    <border>
      <left style="thin">
        <color indexed="64"/>
      </left>
      <right style="thin">
        <color indexed="64"/>
      </right>
      <top/>
      <bottom/>
      <diagonal/>
    </border>
    <border>
      <left/>
      <right/>
      <top style="double">
        <color indexed="64"/>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style="medium">
        <color indexed="64"/>
      </left>
      <right style="thick">
        <color indexed="64"/>
      </right>
      <top style="thick">
        <color indexed="64"/>
      </top>
      <bottom/>
      <diagonal/>
    </border>
    <border>
      <left style="thick">
        <color indexed="64"/>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double">
        <color indexed="64"/>
      </top>
      <bottom/>
      <diagonal/>
    </border>
    <border>
      <left/>
      <right/>
      <top style="thin">
        <color indexed="64"/>
      </top>
      <bottom style="double">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dashDot">
        <color indexed="64"/>
      </bottom>
      <diagonal/>
    </border>
    <border>
      <left style="medium">
        <color indexed="64"/>
      </left>
      <right/>
      <top style="thin">
        <color indexed="64"/>
      </top>
      <bottom style="double">
        <color indexed="64"/>
      </bottom>
      <diagonal/>
    </border>
    <border>
      <left/>
      <right/>
      <top/>
      <bottom style="thick">
        <color indexed="64"/>
      </bottom>
      <diagonal/>
    </border>
    <border>
      <left style="thick">
        <color indexed="64"/>
      </left>
      <right style="thin">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ck">
        <color indexed="64"/>
      </left>
      <right/>
      <top/>
      <bottom style="thick">
        <color indexed="64"/>
      </bottom>
      <diagonal/>
    </border>
    <border>
      <left style="medium">
        <color indexed="64"/>
      </left>
      <right style="thick">
        <color indexed="64"/>
      </right>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diagonal/>
    </border>
    <border>
      <left/>
      <right style="thin">
        <color indexed="64"/>
      </right>
      <top style="double">
        <color indexed="64"/>
      </top>
      <bottom/>
      <diagonal/>
    </border>
    <border>
      <left/>
      <right style="thin">
        <color indexed="64"/>
      </right>
      <top style="double">
        <color indexed="64"/>
      </top>
      <bottom style="medium">
        <color indexed="64"/>
      </bottom>
      <diagonal/>
    </border>
  </borders>
  <cellStyleXfs count="28">
    <xf numFmtId="0" fontId="0" fillId="0" borderId="0"/>
    <xf numFmtId="43" fontId="12" fillId="0" borderId="0" applyFont="0" applyFill="0" applyBorder="0" applyAlignment="0" applyProtection="0"/>
    <xf numFmtId="9" fontId="1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3" fontId="17" fillId="0" borderId="0" applyFont="0" applyFill="0" applyBorder="0" applyAlignment="0" applyProtection="0"/>
    <xf numFmtId="172" fontId="17" fillId="0" borderId="0" applyFont="0" applyFill="0" applyBorder="0" applyAlignment="0" applyProtection="0"/>
    <xf numFmtId="0" fontId="17" fillId="0" borderId="0" applyFont="0" applyFill="0" applyBorder="0" applyAlignment="0" applyProtection="0"/>
    <xf numFmtId="2" fontId="17" fillId="0" borderId="0" applyFon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3" fontId="17" fillId="0" borderId="1">
      <alignment horizontal="right"/>
    </xf>
    <xf numFmtId="0" fontId="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6" fillId="0" borderId="0"/>
    <xf numFmtId="0" fontId="16" fillId="0" borderId="0"/>
    <xf numFmtId="0" fontId="24" fillId="0" borderId="0"/>
    <xf numFmtId="0" fontId="29" fillId="0" borderId="0"/>
    <xf numFmtId="0" fontId="22" fillId="0" borderId="0"/>
    <xf numFmtId="0" fontId="12" fillId="0" borderId="0"/>
    <xf numFmtId="0" fontId="23" fillId="0" borderId="0"/>
    <xf numFmtId="0" fontId="28" fillId="0" borderId="0"/>
    <xf numFmtId="9" fontId="16" fillId="0" borderId="0" applyFont="0" applyFill="0" applyBorder="0" applyAlignment="0" applyProtection="0"/>
    <xf numFmtId="9" fontId="22" fillId="0" borderId="0" applyFont="0" applyFill="0" applyBorder="0" applyAlignment="0" applyProtection="0"/>
    <xf numFmtId="9" fontId="23" fillId="0" borderId="0" applyFont="0" applyFill="0" applyBorder="0" applyAlignment="0" applyProtection="0"/>
    <xf numFmtId="0" fontId="17" fillId="0" borderId="2" applyNumberFormat="0" applyFont="0" applyFill="0" applyAlignment="0" applyProtection="0"/>
    <xf numFmtId="44" fontId="38" fillId="0" borderId="0" applyFont="0" applyFill="0" applyBorder="0" applyAlignment="0" applyProtection="0"/>
  </cellStyleXfs>
  <cellXfs count="900">
    <xf numFmtId="0" fontId="0" fillId="0" borderId="0" xfId="0"/>
    <xf numFmtId="0" fontId="0" fillId="0" borderId="0" xfId="0" applyAlignment="1">
      <alignment wrapText="1"/>
    </xf>
    <xf numFmtId="165" fontId="9" fillId="3" borderId="3" xfId="3" applyNumberFormat="1" applyFont="1" applyFill="1" applyBorder="1" applyProtection="1"/>
    <xf numFmtId="165" fontId="9" fillId="3" borderId="4" xfId="3" applyNumberFormat="1" applyFont="1" applyFill="1" applyBorder="1" applyProtection="1"/>
    <xf numFmtId="165" fontId="0" fillId="0" borderId="0" xfId="3" applyNumberFormat="1" applyFont="1" applyFill="1" applyBorder="1" applyProtection="1"/>
    <xf numFmtId="165" fontId="0" fillId="0" borderId="0" xfId="3" applyNumberFormat="1" applyFont="1" applyProtection="1"/>
    <xf numFmtId="0" fontId="0" fillId="0" borderId="0" xfId="0" applyAlignment="1">
      <alignment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xf>
    <xf numFmtId="0" fontId="3" fillId="5" borderId="12"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4" xfId="0" applyFont="1" applyFill="1" applyBorder="1" applyAlignment="1">
      <alignment horizontal="center" vertical="center"/>
    </xf>
    <xf numFmtId="0" fontId="3" fillId="5" borderId="3"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0" borderId="0" xfId="0" applyFont="1"/>
    <xf numFmtId="0" fontId="8" fillId="0" borderId="0" xfId="0" applyFont="1"/>
    <xf numFmtId="9" fontId="0" fillId="0" borderId="0" xfId="0" applyNumberFormat="1"/>
    <xf numFmtId="0" fontId="4" fillId="4" borderId="0" xfId="0" applyFont="1" applyFill="1"/>
    <xf numFmtId="0" fontId="0" fillId="4" borderId="0" xfId="0" applyFill="1"/>
    <xf numFmtId="165" fontId="9" fillId="4" borderId="0" xfId="3" applyNumberFormat="1" applyFont="1" applyFill="1" applyBorder="1" applyProtection="1"/>
    <xf numFmtId="165" fontId="0" fillId="0" borderId="0" xfId="3" applyNumberFormat="1" applyFont="1" applyBorder="1" applyProtection="1"/>
    <xf numFmtId="0" fontId="11" fillId="0" borderId="21" xfId="0" applyFont="1" applyBorder="1" applyAlignment="1">
      <alignment wrapText="1"/>
    </xf>
    <xf numFmtId="0" fontId="13" fillId="0" borderId="1" xfId="0" applyFont="1" applyBorder="1" applyAlignment="1">
      <alignment wrapText="1"/>
    </xf>
    <xf numFmtId="0" fontId="0" fillId="0" borderId="1" xfId="0" applyBorder="1"/>
    <xf numFmtId="49" fontId="0" fillId="0" borderId="0" xfId="0" applyNumberFormat="1"/>
    <xf numFmtId="165" fontId="32" fillId="9" borderId="3" xfId="3" applyNumberFormat="1" applyFont="1" applyFill="1" applyBorder="1" applyProtection="1"/>
    <xf numFmtId="165" fontId="32" fillId="9" borderId="4" xfId="3" applyNumberFormat="1" applyFont="1" applyFill="1" applyBorder="1" applyProtection="1"/>
    <xf numFmtId="165" fontId="9" fillId="10" borderId="3" xfId="3" applyNumberFormat="1" applyFont="1" applyFill="1" applyBorder="1" applyProtection="1"/>
    <xf numFmtId="165" fontId="9" fillId="10" borderId="4" xfId="3" applyNumberFormat="1" applyFont="1" applyFill="1" applyBorder="1" applyProtection="1"/>
    <xf numFmtId="165" fontId="33" fillId="8" borderId="3" xfId="3" applyNumberFormat="1" applyFont="1" applyFill="1" applyBorder="1" applyProtection="1"/>
    <xf numFmtId="165" fontId="33" fillId="8" borderId="4" xfId="3" applyNumberFormat="1" applyFont="1" applyFill="1" applyBorder="1" applyProtection="1"/>
    <xf numFmtId="0" fontId="0" fillId="0" borderId="23" xfId="0" applyBorder="1"/>
    <xf numFmtId="0" fontId="21" fillId="0" borderId="0" xfId="0" applyFont="1"/>
    <xf numFmtId="0" fontId="3" fillId="0" borderId="23" xfId="0" applyFont="1" applyBorder="1" applyAlignment="1">
      <alignment wrapText="1"/>
    </xf>
    <xf numFmtId="0" fontId="8" fillId="0" borderId="23" xfId="0" applyFont="1" applyBorder="1" applyAlignment="1">
      <alignment horizontal="center" vertical="center" wrapText="1"/>
    </xf>
    <xf numFmtId="0" fontId="0" fillId="0" borderId="34" xfId="0" applyBorder="1"/>
    <xf numFmtId="0" fontId="0" fillId="0" borderId="40" xfId="0" applyBorder="1"/>
    <xf numFmtId="41" fontId="0" fillId="0" borderId="0" xfId="0" applyNumberFormat="1"/>
    <xf numFmtId="165" fontId="0" fillId="0" borderId="1" xfId="3" applyNumberFormat="1" applyFont="1" applyBorder="1" applyProtection="1"/>
    <xf numFmtId="165" fontId="9" fillId="4" borderId="1" xfId="3" applyNumberFormat="1" applyFont="1" applyFill="1" applyBorder="1" applyProtection="1"/>
    <xf numFmtId="165" fontId="0" fillId="0" borderId="1" xfId="3" applyNumberFormat="1" applyFont="1" applyFill="1" applyBorder="1" applyProtection="1"/>
    <xf numFmtId="165" fontId="9" fillId="10" borderId="41" xfId="3" applyNumberFormat="1" applyFont="1" applyFill="1" applyBorder="1" applyProtection="1"/>
    <xf numFmtId="165" fontId="9" fillId="10" borderId="42" xfId="3" applyNumberFormat="1" applyFont="1" applyFill="1" applyBorder="1" applyProtection="1"/>
    <xf numFmtId="165" fontId="9" fillId="3" borderId="41" xfId="3" applyNumberFormat="1" applyFont="1" applyFill="1" applyBorder="1" applyProtection="1"/>
    <xf numFmtId="165" fontId="9" fillId="3" borderId="42" xfId="3" applyNumberFormat="1" applyFont="1" applyFill="1" applyBorder="1" applyProtection="1"/>
    <xf numFmtId="165" fontId="33" fillId="8" borderId="41" xfId="3" applyNumberFormat="1" applyFont="1" applyFill="1" applyBorder="1" applyProtection="1"/>
    <xf numFmtId="165" fontId="33" fillId="8" borderId="42" xfId="3" applyNumberFormat="1" applyFont="1" applyFill="1" applyBorder="1" applyProtection="1"/>
    <xf numFmtId="165" fontId="32" fillId="9" borderId="41" xfId="3" applyNumberFormat="1" applyFont="1" applyFill="1" applyBorder="1" applyProtection="1"/>
    <xf numFmtId="165" fontId="32" fillId="9" borderId="42" xfId="3" applyNumberFormat="1" applyFont="1" applyFill="1" applyBorder="1" applyProtection="1"/>
    <xf numFmtId="0" fontId="22" fillId="0" borderId="38" xfId="19" applyBorder="1"/>
    <xf numFmtId="0" fontId="22" fillId="0" borderId="0" xfId="19"/>
    <xf numFmtId="0" fontId="0" fillId="0" borderId="44" xfId="0" applyBorder="1"/>
    <xf numFmtId="0" fontId="3" fillId="5" borderId="23" xfId="0" applyFont="1" applyFill="1" applyBorder="1"/>
    <xf numFmtId="0" fontId="3" fillId="4" borderId="21" xfId="0" applyFont="1" applyFill="1" applyBorder="1"/>
    <xf numFmtId="166" fontId="0" fillId="0" borderId="19" xfId="3" applyNumberFormat="1" applyFont="1" applyFill="1" applyBorder="1" applyProtection="1"/>
    <xf numFmtId="0" fontId="3" fillId="4" borderId="34" xfId="0" applyFont="1" applyFill="1" applyBorder="1"/>
    <xf numFmtId="0" fontId="0" fillId="0" borderId="46" xfId="0" applyBorder="1" applyAlignment="1">
      <alignment wrapText="1"/>
    </xf>
    <xf numFmtId="0" fontId="0" fillId="0" borderId="49" xfId="0" applyBorder="1"/>
    <xf numFmtId="0" fontId="0" fillId="0" borderId="50" xfId="0" applyBorder="1"/>
    <xf numFmtId="0" fontId="3" fillId="5" borderId="0" xfId="0" applyFont="1" applyFill="1" applyAlignment="1">
      <alignment horizontal="right" vertical="center"/>
    </xf>
    <xf numFmtId="0" fontId="3" fillId="5" borderId="39" xfId="0" applyFont="1" applyFill="1" applyBorder="1" applyAlignment="1">
      <alignment horizontal="right" vertical="center"/>
    </xf>
    <xf numFmtId="0" fontId="3" fillId="4" borderId="40" xfId="0" applyFont="1" applyFill="1" applyBorder="1"/>
    <xf numFmtId="0" fontId="8" fillId="4" borderId="46" xfId="0" applyFont="1" applyFill="1" applyBorder="1"/>
    <xf numFmtId="0" fontId="8" fillId="4" borderId="34" xfId="0" applyFont="1" applyFill="1" applyBorder="1"/>
    <xf numFmtId="0" fontId="8" fillId="4" borderId="0" xfId="0" applyFont="1" applyFill="1"/>
    <xf numFmtId="0" fontId="8" fillId="4" borderId="39" xfId="0" applyFont="1" applyFill="1" applyBorder="1"/>
    <xf numFmtId="42" fontId="8" fillId="0" borderId="0" xfId="0" applyNumberFormat="1" applyFont="1" applyAlignment="1">
      <alignment horizontal="right" vertical="center"/>
    </xf>
    <xf numFmtId="42" fontId="8" fillId="0" borderId="39" xfId="0" applyNumberFormat="1" applyFont="1" applyBorder="1" applyAlignment="1">
      <alignment horizontal="right" vertical="center"/>
    </xf>
    <xf numFmtId="42" fontId="8" fillId="0" borderId="44" xfId="0" applyNumberFormat="1" applyFont="1" applyBorder="1" applyAlignment="1">
      <alignment horizontal="right" vertical="center"/>
    </xf>
    <xf numFmtId="42" fontId="8" fillId="0" borderId="50" xfId="0" applyNumberFormat="1" applyFont="1" applyBorder="1" applyAlignment="1">
      <alignment horizontal="right" vertical="center"/>
    </xf>
    <xf numFmtId="0" fontId="4" fillId="4" borderId="0" xfId="0" applyFont="1" applyFill="1" applyAlignment="1">
      <alignment vertical="center"/>
    </xf>
    <xf numFmtId="42" fontId="3" fillId="4" borderId="0" xfId="0" applyNumberFormat="1" applyFont="1" applyFill="1" applyAlignment="1">
      <alignment vertical="center"/>
    </xf>
    <xf numFmtId="42" fontId="8" fillId="14" borderId="0" xfId="0" applyNumberFormat="1" applyFont="1" applyFill="1" applyAlignment="1">
      <alignment vertical="center"/>
    </xf>
    <xf numFmtId="42" fontId="8" fillId="0" borderId="0" xfId="0" applyNumberFormat="1" applyFont="1" applyAlignment="1">
      <alignment vertical="center"/>
    </xf>
    <xf numFmtId="42" fontId="4" fillId="0" borderId="0" xfId="0" applyNumberFormat="1" applyFont="1" applyAlignment="1">
      <alignment vertical="center"/>
    </xf>
    <xf numFmtId="42" fontId="4" fillId="4" borderId="0" xfId="0" applyNumberFormat="1" applyFont="1" applyFill="1" applyAlignment="1">
      <alignment vertical="center"/>
    </xf>
    <xf numFmtId="42" fontId="8" fillId="0" borderId="44" xfId="0" applyNumberFormat="1" applyFont="1" applyBorder="1" applyAlignment="1">
      <alignment vertical="center"/>
    </xf>
    <xf numFmtId="0" fontId="3" fillId="4" borderId="0" xfId="19" applyFont="1" applyFill="1"/>
    <xf numFmtId="0" fontId="30" fillId="4" borderId="0" xfId="19" applyFont="1" applyFill="1"/>
    <xf numFmtId="0" fontId="8" fillId="4" borderId="38" xfId="19" applyFont="1" applyFill="1" applyBorder="1"/>
    <xf numFmtId="0" fontId="8" fillId="4" borderId="0" xfId="19" applyFont="1" applyFill="1"/>
    <xf numFmtId="0" fontId="8" fillId="0" borderId="23" xfId="0" applyFont="1" applyBorder="1" applyAlignment="1">
      <alignment vertical="center"/>
    </xf>
    <xf numFmtId="0" fontId="13" fillId="0" borderId="0" xfId="0" applyFont="1"/>
    <xf numFmtId="0" fontId="11" fillId="0" borderId="5" xfId="0" applyFont="1" applyBorder="1" applyAlignment="1">
      <alignment horizontal="left" vertical="center"/>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0" xfId="0" applyFont="1" applyAlignment="1">
      <alignment vertical="center" wrapText="1"/>
    </xf>
    <xf numFmtId="0" fontId="13" fillId="0" borderId="0" xfId="0" applyFont="1" applyAlignment="1">
      <alignment vertical="center"/>
    </xf>
    <xf numFmtId="0" fontId="3" fillId="4" borderId="45" xfId="19" applyFont="1" applyFill="1" applyBorder="1"/>
    <xf numFmtId="0" fontId="3" fillId="4" borderId="59" xfId="19" applyFont="1" applyFill="1" applyBorder="1"/>
    <xf numFmtId="0" fontId="3" fillId="4" borderId="46" xfId="0" applyFont="1" applyFill="1" applyBorder="1"/>
    <xf numFmtId="0" fontId="3" fillId="4" borderId="49" xfId="0" applyFont="1" applyFill="1" applyBorder="1"/>
    <xf numFmtId="0" fontId="3" fillId="4" borderId="44" xfId="0" applyFont="1" applyFill="1" applyBorder="1"/>
    <xf numFmtId="0" fontId="3" fillId="4" borderId="50" xfId="0" applyFont="1" applyFill="1" applyBorder="1"/>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8" fillId="0" borderId="22" xfId="0" applyFont="1" applyBorder="1" applyAlignment="1">
      <alignment horizontal="left" vertical="center" wrapText="1"/>
    </xf>
    <xf numFmtId="0" fontId="3" fillId="5" borderId="0" xfId="0" applyFont="1" applyFill="1" applyAlignment="1">
      <alignment horizontal="right"/>
    </xf>
    <xf numFmtId="9" fontId="3" fillId="5" borderId="0" xfId="0" applyNumberFormat="1" applyFont="1" applyFill="1" applyAlignment="1">
      <alignment horizontal="right"/>
    </xf>
    <xf numFmtId="0" fontId="3" fillId="4" borderId="23" xfId="0" applyFont="1" applyFill="1" applyBorder="1" applyAlignment="1">
      <alignment horizontal="left" vertical="center" wrapText="1"/>
    </xf>
    <xf numFmtId="0" fontId="3" fillId="5" borderId="46" xfId="0" applyFont="1" applyFill="1" applyBorder="1" applyAlignment="1">
      <alignment horizontal="left" vertical="center" wrapText="1"/>
    </xf>
    <xf numFmtId="0" fontId="3" fillId="5" borderId="40" xfId="0" applyFont="1" applyFill="1" applyBorder="1" applyAlignment="1">
      <alignment horizontal="left" vertical="center" wrapText="1"/>
    </xf>
    <xf numFmtId="0" fontId="3" fillId="5" borderId="39" xfId="0" applyFont="1" applyFill="1" applyBorder="1" applyAlignment="1">
      <alignment horizontal="left" vertical="center" wrapText="1"/>
    </xf>
    <xf numFmtId="0" fontId="3" fillId="5" borderId="22" xfId="0" applyFont="1" applyFill="1" applyBorder="1" applyAlignment="1">
      <alignment horizontal="right" vertical="center" wrapText="1"/>
    </xf>
    <xf numFmtId="42" fontId="0" fillId="0" borderId="0" xfId="0" applyNumberFormat="1"/>
    <xf numFmtId="42" fontId="32" fillId="8" borderId="3" xfId="3" applyNumberFormat="1" applyFont="1" applyFill="1" applyBorder="1" applyProtection="1"/>
    <xf numFmtId="42" fontId="32" fillId="8" borderId="4" xfId="3" applyNumberFormat="1" applyFont="1" applyFill="1" applyBorder="1" applyProtection="1"/>
    <xf numFmtId="42" fontId="32" fillId="9" borderId="3" xfId="3" applyNumberFormat="1" applyFont="1" applyFill="1" applyBorder="1" applyProtection="1"/>
    <xf numFmtId="42" fontId="32" fillId="9" borderId="4" xfId="3" applyNumberFormat="1" applyFont="1" applyFill="1" applyBorder="1" applyProtection="1"/>
    <xf numFmtId="165" fontId="9" fillId="15" borderId="19" xfId="3" applyNumberFormat="1" applyFont="1" applyFill="1" applyBorder="1" applyProtection="1"/>
    <xf numFmtId="42" fontId="32" fillId="16" borderId="19" xfId="3" applyNumberFormat="1" applyFont="1" applyFill="1" applyBorder="1" applyProtection="1"/>
    <xf numFmtId="41" fontId="33" fillId="16" borderId="19" xfId="3" applyNumberFormat="1" applyFont="1" applyFill="1" applyBorder="1" applyProtection="1"/>
    <xf numFmtId="0" fontId="7" fillId="0" borderId="0" xfId="13" applyFill="1" applyBorder="1" applyAlignment="1" applyProtection="1"/>
    <xf numFmtId="0" fontId="7" fillId="17" borderId="34" xfId="13" applyFill="1" applyBorder="1" applyAlignment="1" applyProtection="1">
      <alignment vertical="center"/>
    </xf>
    <xf numFmtId="0" fontId="8" fillId="0" borderId="44" xfId="0" applyFont="1" applyBorder="1" applyAlignment="1">
      <alignment vertical="center"/>
    </xf>
    <xf numFmtId="0" fontId="7" fillId="17" borderId="50" xfId="13" applyFill="1" applyBorder="1" applyAlignment="1" applyProtection="1">
      <alignment vertical="center"/>
    </xf>
    <xf numFmtId="0" fontId="7" fillId="17" borderId="33" xfId="13" applyFill="1" applyBorder="1" applyAlignment="1" applyProtection="1">
      <alignment vertical="center"/>
    </xf>
    <xf numFmtId="0" fontId="3" fillId="5" borderId="23" xfId="0" applyFont="1" applyFill="1" applyBorder="1" applyAlignment="1">
      <alignment wrapText="1"/>
    </xf>
    <xf numFmtId="0" fontId="7" fillId="0" borderId="23" xfId="13" applyBorder="1" applyAlignment="1" applyProtection="1">
      <alignment wrapText="1"/>
    </xf>
    <xf numFmtId="0" fontId="3" fillId="4" borderId="21" xfId="0" applyFont="1" applyFill="1" applyBorder="1" applyAlignment="1">
      <alignment wrapText="1"/>
    </xf>
    <xf numFmtId="0" fontId="8" fillId="0" borderId="0" xfId="0" applyFont="1" applyAlignment="1">
      <alignment wrapText="1"/>
    </xf>
    <xf numFmtId="0" fontId="3" fillId="4" borderId="38" xfId="0" applyFont="1" applyFill="1" applyBorder="1" applyAlignment="1">
      <alignment wrapText="1"/>
    </xf>
    <xf numFmtId="0" fontId="3" fillId="5" borderId="38" xfId="0" applyFont="1" applyFill="1" applyBorder="1" applyAlignment="1">
      <alignment wrapText="1"/>
    </xf>
    <xf numFmtId="0" fontId="3" fillId="5" borderId="49" xfId="0" applyFont="1" applyFill="1" applyBorder="1" applyAlignment="1">
      <alignment wrapText="1"/>
    </xf>
    <xf numFmtId="0" fontId="8" fillId="4" borderId="0" xfId="0" applyFont="1" applyFill="1" applyAlignment="1">
      <alignment vertical="center"/>
    </xf>
    <xf numFmtId="42" fontId="8" fillId="0" borderId="38" xfId="0" applyNumberFormat="1" applyFont="1" applyBorder="1" applyAlignment="1">
      <alignment vertical="center"/>
    </xf>
    <xf numFmtId="0" fontId="8" fillId="4" borderId="38" xfId="0" applyFont="1" applyFill="1" applyBorder="1" applyAlignment="1">
      <alignment vertical="center" wrapText="1"/>
    </xf>
    <xf numFmtId="0" fontId="3" fillId="4" borderId="0" xfId="0" applyFont="1" applyFill="1" applyAlignment="1">
      <alignment vertical="center"/>
    </xf>
    <xf numFmtId="42" fontId="3" fillId="4" borderId="0" xfId="0" applyNumberFormat="1" applyFont="1" applyFill="1" applyAlignment="1">
      <alignment horizontal="right" vertical="center"/>
    </xf>
    <xf numFmtId="0" fontId="3" fillId="0" borderId="38" xfId="0" applyFont="1" applyBorder="1" applyAlignment="1">
      <alignment vertical="center" wrapText="1"/>
    </xf>
    <xf numFmtId="0" fontId="8" fillId="0" borderId="0" xfId="0" applyFont="1" applyAlignment="1">
      <alignment vertical="center"/>
    </xf>
    <xf numFmtId="0" fontId="8" fillId="0" borderId="38" xfId="0" applyFont="1" applyBorder="1" applyAlignment="1">
      <alignment vertical="center" wrapText="1"/>
    </xf>
    <xf numFmtId="0" fontId="3" fillId="4" borderId="38" xfId="0" applyFont="1" applyFill="1" applyBorder="1" applyAlignment="1">
      <alignment vertical="center" wrapText="1"/>
    </xf>
    <xf numFmtId="42" fontId="8" fillId="4" borderId="0" xfId="0" applyNumberFormat="1" applyFont="1" applyFill="1" applyAlignment="1">
      <alignment vertical="center"/>
    </xf>
    <xf numFmtId="0" fontId="3" fillId="0" borderId="49" xfId="0" applyFont="1" applyBorder="1" applyAlignment="1">
      <alignment vertical="center" wrapText="1"/>
    </xf>
    <xf numFmtId="42" fontId="3" fillId="4" borderId="0" xfId="0" applyNumberFormat="1" applyFont="1" applyFill="1" applyAlignment="1">
      <alignment vertical="center" wrapText="1"/>
    </xf>
    <xf numFmtId="42" fontId="3" fillId="4" borderId="0" xfId="0" applyNumberFormat="1" applyFont="1" applyFill="1" applyAlignment="1">
      <alignment horizontal="right" vertical="center" wrapText="1"/>
    </xf>
    <xf numFmtId="0" fontId="8" fillId="4" borderId="40" xfId="0" applyFont="1" applyFill="1" applyBorder="1"/>
    <xf numFmtId="0" fontId="4" fillId="4" borderId="38" xfId="0" applyFont="1" applyFill="1" applyBorder="1"/>
    <xf numFmtId="42" fontId="3" fillId="4" borderId="38" xfId="0" applyNumberFormat="1" applyFont="1" applyFill="1" applyBorder="1" applyAlignment="1">
      <alignment horizontal="right" vertical="center" wrapText="1"/>
    </xf>
    <xf numFmtId="42" fontId="8" fillId="14" borderId="38" xfId="0" applyNumberFormat="1" applyFont="1" applyFill="1" applyBorder="1" applyAlignment="1">
      <alignment vertical="center"/>
    </xf>
    <xf numFmtId="42" fontId="4" fillId="4" borderId="38" xfId="0" applyNumberFormat="1" applyFont="1" applyFill="1" applyBorder="1" applyAlignment="1">
      <alignment vertical="center"/>
    </xf>
    <xf numFmtId="42" fontId="3" fillId="4" borderId="38" xfId="0" applyNumberFormat="1" applyFont="1" applyFill="1" applyBorder="1" applyAlignment="1">
      <alignment horizontal="right" vertical="center"/>
    </xf>
    <xf numFmtId="42" fontId="8" fillId="0" borderId="49" xfId="0" applyNumberFormat="1" applyFont="1" applyBorder="1" applyAlignment="1">
      <alignment vertical="center"/>
    </xf>
    <xf numFmtId="42" fontId="3" fillId="4" borderId="39" xfId="0" applyNumberFormat="1" applyFont="1" applyFill="1" applyBorder="1" applyAlignment="1">
      <alignment horizontal="right" vertical="center"/>
    </xf>
    <xf numFmtId="42" fontId="8" fillId="0" borderId="39" xfId="0" applyNumberFormat="1" applyFont="1" applyBorder="1" applyAlignment="1">
      <alignment vertical="center"/>
    </xf>
    <xf numFmtId="44" fontId="8" fillId="0" borderId="39" xfId="0" applyNumberFormat="1" applyFont="1" applyBorder="1" applyAlignment="1">
      <alignment vertical="center"/>
    </xf>
    <xf numFmtId="44" fontId="8" fillId="14" borderId="39" xfId="0" applyNumberFormat="1" applyFont="1" applyFill="1" applyBorder="1" applyAlignment="1">
      <alignment vertical="center"/>
    </xf>
    <xf numFmtId="42" fontId="8" fillId="4" borderId="39" xfId="0" applyNumberFormat="1" applyFont="1" applyFill="1" applyBorder="1" applyAlignment="1">
      <alignment vertical="center"/>
    </xf>
    <xf numFmtId="44" fontId="8" fillId="0" borderId="50" xfId="0" applyNumberFormat="1" applyFont="1" applyBorder="1" applyAlignment="1">
      <alignment vertical="center"/>
    </xf>
    <xf numFmtId="42" fontId="3" fillId="4" borderId="23" xfId="0" applyNumberFormat="1" applyFont="1" applyFill="1" applyBorder="1" applyAlignment="1">
      <alignment horizontal="right" vertical="center" wrapText="1"/>
    </xf>
    <xf numFmtId="0" fontId="8" fillId="0" borderId="0" xfId="19" applyFont="1"/>
    <xf numFmtId="0" fontId="3" fillId="5" borderId="21" xfId="0" applyFont="1" applyFill="1" applyBorder="1" applyAlignment="1">
      <alignment horizontal="left" vertical="center" wrapText="1"/>
    </xf>
    <xf numFmtId="0" fontId="3" fillId="0" borderId="46" xfId="0" applyFont="1" applyBorder="1" applyAlignment="1">
      <alignment wrapText="1"/>
    </xf>
    <xf numFmtId="0" fontId="8" fillId="4" borderId="23" xfId="19" applyFont="1" applyFill="1" applyBorder="1" applyAlignment="1">
      <alignment vertical="center" wrapText="1"/>
    </xf>
    <xf numFmtId="0" fontId="8" fillId="4" borderId="23" xfId="0" applyFont="1" applyFill="1" applyBorder="1" applyAlignment="1">
      <alignment vertical="center" wrapText="1"/>
    </xf>
    <xf numFmtId="0" fontId="3" fillId="4" borderId="46" xfId="0" applyFont="1" applyFill="1" applyBorder="1" applyAlignment="1">
      <alignment vertical="center"/>
    </xf>
    <xf numFmtId="44" fontId="3" fillId="5" borderId="23" xfId="0" applyNumberFormat="1" applyFont="1" applyFill="1" applyBorder="1" applyAlignment="1">
      <alignment horizontal="right" vertical="center" wrapText="1"/>
    </xf>
    <xf numFmtId="44" fontId="3" fillId="4" borderId="23" xfId="0" applyNumberFormat="1" applyFont="1" applyFill="1" applyBorder="1" applyAlignment="1">
      <alignment horizontal="right" vertical="center" wrapText="1"/>
    </xf>
    <xf numFmtId="42" fontId="8" fillId="17" borderId="23" xfId="0" applyNumberFormat="1" applyFont="1" applyFill="1" applyBorder="1" applyAlignment="1">
      <alignment vertical="center" wrapText="1"/>
    </xf>
    <xf numFmtId="42" fontId="3" fillId="4" borderId="23" xfId="0" applyNumberFormat="1" applyFont="1" applyFill="1" applyBorder="1" applyAlignment="1">
      <alignment vertical="center" wrapText="1"/>
    </xf>
    <xf numFmtId="44" fontId="3" fillId="4" borderId="23" xfId="0" applyNumberFormat="1" applyFont="1" applyFill="1" applyBorder="1" applyAlignment="1">
      <alignment vertical="center" wrapText="1"/>
    </xf>
    <xf numFmtId="0" fontId="8" fillId="0" borderId="21" xfId="0" applyFont="1" applyBorder="1" applyAlignment="1">
      <alignment vertical="center"/>
    </xf>
    <xf numFmtId="0" fontId="8" fillId="4" borderId="23" xfId="0" applyFont="1" applyFill="1" applyBorder="1" applyAlignment="1">
      <alignment vertical="center"/>
    </xf>
    <xf numFmtId="42" fontId="3" fillId="4" borderId="23" xfId="0" applyNumberFormat="1" applyFont="1" applyFill="1" applyBorder="1" applyAlignment="1">
      <alignment horizontal="center" vertical="center" wrapText="1"/>
    </xf>
    <xf numFmtId="166" fontId="0" fillId="0" borderId="43" xfId="3" applyNumberFormat="1" applyFont="1" applyFill="1" applyBorder="1" applyProtection="1"/>
    <xf numFmtId="165" fontId="9" fillId="15" borderId="43" xfId="3" applyNumberFormat="1" applyFont="1" applyFill="1" applyBorder="1" applyProtection="1"/>
    <xf numFmtId="41" fontId="9" fillId="0" borderId="0" xfId="3" applyNumberFormat="1" applyFont="1" applyFill="1" applyBorder="1" applyProtection="1"/>
    <xf numFmtId="41" fontId="9" fillId="0" borderId="1" xfId="3" applyNumberFormat="1" applyFont="1" applyFill="1" applyBorder="1" applyProtection="1"/>
    <xf numFmtId="41" fontId="9" fillId="17" borderId="1" xfId="3" applyNumberFormat="1" applyFont="1" applyFill="1" applyBorder="1" applyProtection="1"/>
    <xf numFmtId="41" fontId="9" fillId="17" borderId="0" xfId="3" applyNumberFormat="1" applyFont="1" applyFill="1" applyBorder="1" applyProtection="1"/>
    <xf numFmtId="165" fontId="9" fillId="0" borderId="0" xfId="3" applyNumberFormat="1" applyFont="1" applyFill="1" applyBorder="1" applyProtection="1"/>
    <xf numFmtId="165" fontId="9" fillId="0" borderId="1" xfId="3" applyNumberFormat="1" applyFont="1" applyFill="1" applyBorder="1" applyProtection="1"/>
    <xf numFmtId="0" fontId="5" fillId="0" borderId="0" xfId="0" applyFont="1"/>
    <xf numFmtId="41" fontId="8" fillId="0" borderId="0" xfId="3" applyNumberFormat="1" applyFont="1" applyFill="1" applyBorder="1" applyProtection="1"/>
    <xf numFmtId="0" fontId="21" fillId="17" borderId="0" xfId="0" applyFont="1" applyFill="1"/>
    <xf numFmtId="0" fontId="27" fillId="17" borderId="0" xfId="0" applyFont="1" applyFill="1"/>
    <xf numFmtId="0" fontId="0" fillId="0" borderId="0" xfId="0" applyAlignment="1">
      <alignment horizontal="center" vertical="center" wrapText="1"/>
    </xf>
    <xf numFmtId="0" fontId="0" fillId="0" borderId="0" xfId="0" applyAlignment="1">
      <alignment vertical="center" wrapText="1"/>
    </xf>
    <xf numFmtId="0" fontId="8" fillId="0" borderId="23" xfId="0" applyFont="1" applyBorder="1" applyAlignment="1">
      <alignment horizontal="left" vertical="center"/>
    </xf>
    <xf numFmtId="44" fontId="0" fillId="0" borderId="23" xfId="0" applyNumberFormat="1" applyBorder="1" applyAlignment="1">
      <alignment vertical="center"/>
    </xf>
    <xf numFmtId="0" fontId="8" fillId="17" borderId="23" xfId="0" applyFont="1" applyFill="1" applyBorder="1" applyAlignment="1">
      <alignment horizontal="center" vertical="center"/>
    </xf>
    <xf numFmtId="0" fontId="0" fillId="17" borderId="23" xfId="0" applyFill="1" applyBorder="1" applyAlignment="1">
      <alignment horizontal="center" vertical="center" wrapText="1"/>
    </xf>
    <xf numFmtId="0" fontId="8" fillId="17" borderId="23" xfId="0" applyFont="1" applyFill="1" applyBorder="1" applyAlignment="1">
      <alignment horizontal="center" vertical="center" wrapText="1"/>
    </xf>
    <xf numFmtId="0" fontId="8" fillId="0" borderId="23" xfId="0" applyFont="1" applyBorder="1" applyAlignment="1">
      <alignment horizontal="center" vertical="center"/>
    </xf>
    <xf numFmtId="0" fontId="0" fillId="0" borderId="23" xfId="0" applyBorder="1" applyAlignment="1">
      <alignment horizontal="center" vertical="center" wrapText="1"/>
    </xf>
    <xf numFmtId="0" fontId="8" fillId="17" borderId="23" xfId="0" applyFont="1" applyFill="1" applyBorder="1" applyAlignment="1">
      <alignment horizontal="left" vertical="center"/>
    </xf>
    <xf numFmtId="173" fontId="8" fillId="0" borderId="23" xfId="0" applyNumberFormat="1" applyFont="1" applyBorder="1" applyAlignment="1">
      <alignment horizontal="center" vertical="center"/>
    </xf>
    <xf numFmtId="42" fontId="8" fillId="0" borderId="23" xfId="0" applyNumberFormat="1" applyFont="1" applyBorder="1" applyAlignment="1">
      <alignment vertical="center"/>
    </xf>
    <xf numFmtId="173" fontId="0" fillId="0" borderId="23" xfId="0" applyNumberFormat="1" applyBorder="1" applyAlignment="1">
      <alignment horizontal="center" vertical="center"/>
    </xf>
    <xf numFmtId="42" fontId="3" fillId="4" borderId="23" xfId="0" applyNumberFormat="1" applyFont="1" applyFill="1" applyBorder="1" applyAlignment="1">
      <alignment horizontal="right" vertical="center"/>
    </xf>
    <xf numFmtId="173" fontId="3" fillId="4" borderId="23" xfId="0" applyNumberFormat="1" applyFont="1" applyFill="1" applyBorder="1" applyAlignment="1">
      <alignment horizontal="center" vertical="center"/>
    </xf>
    <xf numFmtId="0" fontId="0" fillId="17" borderId="23" xfId="0" applyFill="1" applyBorder="1" applyAlignment="1">
      <alignment horizontal="center" vertical="center"/>
    </xf>
    <xf numFmtId="42" fontId="0" fillId="0" borderId="23" xfId="0" applyNumberFormat="1" applyBorder="1" applyAlignment="1">
      <alignment vertical="center"/>
    </xf>
    <xf numFmtId="44" fontId="0" fillId="0" borderId="0" xfId="0" applyNumberFormat="1" applyAlignment="1">
      <alignment vertical="center"/>
    </xf>
    <xf numFmtId="44" fontId="0" fillId="4" borderId="46" xfId="0" applyNumberFormat="1" applyFill="1" applyBorder="1" applyAlignment="1">
      <alignment vertical="center"/>
    </xf>
    <xf numFmtId="0" fontId="0" fillId="4" borderId="46" xfId="0" applyFill="1" applyBorder="1"/>
    <xf numFmtId="0" fontId="0" fillId="4" borderId="46" xfId="0" applyFill="1" applyBorder="1" applyAlignment="1">
      <alignment horizontal="center" vertical="center" wrapText="1"/>
    </xf>
    <xf numFmtId="0" fontId="3" fillId="4" borderId="0" xfId="0" applyFont="1" applyFill="1"/>
    <xf numFmtId="44" fontId="0" fillId="4" borderId="0" xfId="0" applyNumberFormat="1" applyFill="1" applyAlignment="1">
      <alignment vertical="center"/>
    </xf>
    <xf numFmtId="0" fontId="0" fillId="4" borderId="50" xfId="0" applyFill="1" applyBorder="1" applyAlignment="1">
      <alignment horizontal="center" vertical="center" wrapText="1"/>
    </xf>
    <xf numFmtId="0" fontId="3" fillId="4" borderId="23" xfId="0" applyFont="1" applyFill="1" applyBorder="1" applyAlignment="1">
      <alignment horizontal="center" vertical="center"/>
    </xf>
    <xf numFmtId="44" fontId="3" fillId="4" borderId="23" xfId="0" applyNumberFormat="1" applyFont="1" applyFill="1" applyBorder="1" applyAlignment="1">
      <alignment horizontal="center" vertical="center"/>
    </xf>
    <xf numFmtId="0" fontId="3" fillId="4" borderId="23" xfId="0" applyFont="1" applyFill="1" applyBorder="1" applyAlignment="1">
      <alignment horizontal="center" vertical="center" wrapText="1"/>
    </xf>
    <xf numFmtId="0" fontId="8" fillId="0" borderId="23" xfId="0" applyFont="1" applyBorder="1" applyAlignment="1">
      <alignment horizontal="center"/>
    </xf>
    <xf numFmtId="42" fontId="0" fillId="0" borderId="23" xfId="0" applyNumberFormat="1" applyBorder="1"/>
    <xf numFmtId="42" fontId="0" fillId="0" borderId="23" xfId="0" applyNumberFormat="1" applyBorder="1" applyAlignment="1">
      <alignment horizontal="right" vertical="center"/>
    </xf>
    <xf numFmtId="42" fontId="0" fillId="0" borderId="23" xfId="0" applyNumberFormat="1" applyBorder="1" applyAlignment="1">
      <alignment horizontal="right"/>
    </xf>
    <xf numFmtId="42" fontId="0" fillId="0" borderId="23" xfId="0" applyNumberFormat="1" applyBorder="1" applyAlignment="1">
      <alignment vertical="center" wrapText="1"/>
    </xf>
    <xf numFmtId="0" fontId="3" fillId="4" borderId="23" xfId="0" applyFont="1" applyFill="1" applyBorder="1" applyAlignment="1">
      <alignment vertical="center"/>
    </xf>
    <xf numFmtId="0" fontId="3" fillId="4" borderId="23" xfId="0" applyFont="1" applyFill="1" applyBorder="1" applyAlignment="1">
      <alignment horizontal="right" vertical="center"/>
    </xf>
    <xf numFmtId="0" fontId="3" fillId="4" borderId="23" xfId="0" applyFont="1" applyFill="1" applyBorder="1" applyAlignment="1">
      <alignment horizontal="right" vertical="center" wrapText="1"/>
    </xf>
    <xf numFmtId="0" fontId="3" fillId="4" borderId="23" xfId="0" applyFont="1" applyFill="1" applyBorder="1" applyAlignment="1">
      <alignment horizontal="left" vertical="center"/>
    </xf>
    <xf numFmtId="0" fontId="3" fillId="4" borderId="23" xfId="0" applyFont="1" applyFill="1" applyBorder="1" applyAlignment="1">
      <alignment vertical="center" wrapText="1"/>
    </xf>
    <xf numFmtId="42" fontId="3" fillId="4" borderId="23" xfId="0" applyNumberFormat="1" applyFont="1" applyFill="1" applyBorder="1" applyAlignment="1">
      <alignment vertical="center"/>
    </xf>
    <xf numFmtId="0" fontId="0" fillId="0" borderId="23" xfId="0" applyBorder="1" applyAlignment="1">
      <alignment vertical="center"/>
    </xf>
    <xf numFmtId="0" fontId="0" fillId="17" borderId="23" xfId="0" applyFill="1" applyBorder="1" applyAlignment="1">
      <alignment vertical="center"/>
    </xf>
    <xf numFmtId="42" fontId="8" fillId="0" borderId="0" xfId="0" applyNumberFormat="1" applyFont="1" applyAlignment="1">
      <alignment vertical="center" wrapText="1"/>
    </xf>
    <xf numFmtId="0" fontId="0" fillId="4" borderId="34" xfId="0" applyFill="1" applyBorder="1" applyAlignment="1">
      <alignment vertical="center" wrapText="1"/>
    </xf>
    <xf numFmtId="44" fontId="3" fillId="4" borderId="23" xfId="0" applyNumberFormat="1" applyFont="1" applyFill="1" applyBorder="1" applyAlignment="1">
      <alignment vertical="center"/>
    </xf>
    <xf numFmtId="0" fontId="8" fillId="0" borderId="21" xfId="0" applyFont="1" applyBorder="1" applyAlignment="1">
      <alignment horizontal="right" vertical="center"/>
    </xf>
    <xf numFmtId="0" fontId="0" fillId="0" borderId="21" xfId="0" applyBorder="1" applyAlignment="1">
      <alignment vertical="center"/>
    </xf>
    <xf numFmtId="42" fontId="0" fillId="0" borderId="21" xfId="0" applyNumberFormat="1" applyBorder="1" applyAlignment="1">
      <alignment vertical="center"/>
    </xf>
    <xf numFmtId="42" fontId="0" fillId="0" borderId="0" xfId="0" applyNumberFormat="1" applyAlignment="1">
      <alignment vertical="center" wrapText="1"/>
    </xf>
    <xf numFmtId="0" fontId="8" fillId="0" borderId="1" xfId="0" applyFont="1" applyBorder="1" applyAlignment="1">
      <alignment vertical="center"/>
    </xf>
    <xf numFmtId="0" fontId="8" fillId="0" borderId="1" xfId="0" applyFont="1" applyBorder="1" applyAlignment="1">
      <alignment horizontal="right" vertical="center"/>
    </xf>
    <xf numFmtId="0" fontId="0" fillId="0" borderId="1" xfId="0" applyBorder="1" applyAlignment="1">
      <alignment vertical="center"/>
    </xf>
    <xf numFmtId="42" fontId="0" fillId="0" borderId="1" xfId="0" applyNumberFormat="1" applyBorder="1" applyAlignment="1">
      <alignment vertical="center"/>
    </xf>
    <xf numFmtId="0" fontId="8" fillId="0" borderId="22" xfId="0" applyFont="1" applyBorder="1" applyAlignment="1">
      <alignment vertical="center"/>
    </xf>
    <xf numFmtId="0" fontId="8" fillId="0" borderId="22" xfId="0" applyFont="1" applyBorder="1" applyAlignment="1">
      <alignment horizontal="right" vertical="center"/>
    </xf>
    <xf numFmtId="0" fontId="0" fillId="0" borderId="22" xfId="0" applyBorder="1" applyAlignment="1">
      <alignment vertical="center"/>
    </xf>
    <xf numFmtId="42" fontId="0" fillId="0" borderId="22" xfId="0" applyNumberFormat="1" applyBorder="1" applyAlignment="1">
      <alignment vertical="center"/>
    </xf>
    <xf numFmtId="0" fontId="0" fillId="17" borderId="21" xfId="0" applyFill="1" applyBorder="1" applyAlignment="1">
      <alignment vertical="center"/>
    </xf>
    <xf numFmtId="0" fontId="0" fillId="4" borderId="23" xfId="0" applyFill="1" applyBorder="1" applyAlignment="1">
      <alignment vertical="center"/>
    </xf>
    <xf numFmtId="42" fontId="0" fillId="4" borderId="23" xfId="0" applyNumberFormat="1" applyFill="1" applyBorder="1" applyAlignment="1">
      <alignment vertical="center"/>
    </xf>
    <xf numFmtId="42" fontId="0" fillId="0" borderId="0" xfId="0" applyNumberFormat="1" applyAlignment="1">
      <alignment wrapText="1"/>
    </xf>
    <xf numFmtId="42" fontId="0" fillId="0" borderId="0" xfId="0" applyNumberFormat="1" applyAlignment="1">
      <alignment vertical="center"/>
    </xf>
    <xf numFmtId="0" fontId="0" fillId="0" borderId="45" xfId="0" applyBorder="1"/>
    <xf numFmtId="0" fontId="0" fillId="0" borderId="59" xfId="0" applyBorder="1"/>
    <xf numFmtId="44" fontId="0" fillId="0" borderId="0" xfId="0" applyNumberFormat="1"/>
    <xf numFmtId="0" fontId="3" fillId="4" borderId="45" xfId="0" applyFont="1" applyFill="1" applyBorder="1"/>
    <xf numFmtId="0" fontId="8" fillId="5" borderId="49" xfId="0" applyFont="1" applyFill="1" applyBorder="1" applyAlignment="1">
      <alignment vertical="center"/>
    </xf>
    <xf numFmtId="0" fontId="8" fillId="5" borderId="45" xfId="0" applyFont="1" applyFill="1" applyBorder="1" applyAlignment="1">
      <alignment vertical="center"/>
    </xf>
    <xf numFmtId="0" fontId="3" fillId="2" borderId="23" xfId="0" applyFont="1" applyFill="1" applyBorder="1" applyAlignment="1">
      <alignment horizontal="left" vertical="center" wrapText="1"/>
    </xf>
    <xf numFmtId="0" fontId="7" fillId="0" borderId="0" xfId="13" applyAlignment="1" applyProtection="1">
      <alignment vertical="center"/>
    </xf>
    <xf numFmtId="0" fontId="21" fillId="0" borderId="0" xfId="0" applyFont="1" applyAlignment="1">
      <alignment vertical="center"/>
    </xf>
    <xf numFmtId="0" fontId="3" fillId="21" borderId="45" xfId="0" applyFont="1" applyFill="1" applyBorder="1" applyAlignment="1">
      <alignment vertical="center"/>
    </xf>
    <xf numFmtId="0" fontId="3" fillId="21" borderId="33" xfId="0" applyFont="1" applyFill="1" applyBorder="1" applyAlignment="1">
      <alignment vertical="center"/>
    </xf>
    <xf numFmtId="0" fontId="0" fillId="21" borderId="59" xfId="0" applyFill="1" applyBorder="1" applyAlignment="1">
      <alignment vertical="center"/>
    </xf>
    <xf numFmtId="0" fontId="0" fillId="21" borderId="33" xfId="0" applyFill="1" applyBorder="1" applyAlignment="1">
      <alignment vertical="center"/>
    </xf>
    <xf numFmtId="0" fontId="3" fillId="21" borderId="59" xfId="0" applyFont="1" applyFill="1" applyBorder="1" applyAlignment="1">
      <alignment vertical="center"/>
    </xf>
    <xf numFmtId="0" fontId="3" fillId="0" borderId="0" xfId="0" applyFont="1" applyAlignment="1">
      <alignment horizontal="left" vertical="center"/>
    </xf>
    <xf numFmtId="0" fontId="0" fillId="0" borderId="72" xfId="0" applyBorder="1" applyAlignment="1">
      <alignment vertical="center"/>
    </xf>
    <xf numFmtId="44" fontId="0" fillId="0" borderId="23" xfId="0" applyNumberFormat="1" applyBorder="1" applyAlignment="1">
      <alignment horizontal="right" vertical="center"/>
    </xf>
    <xf numFmtId="44" fontId="0" fillId="0" borderId="33" xfId="0" applyNumberFormat="1" applyBorder="1" applyAlignment="1">
      <alignment vertical="center"/>
    </xf>
    <xf numFmtId="44" fontId="8" fillId="0" borderId="45" xfId="0" applyNumberFormat="1" applyFont="1" applyBorder="1" applyAlignment="1">
      <alignment horizontal="right" vertical="center"/>
    </xf>
    <xf numFmtId="44" fontId="8" fillId="0" borderId="73" xfId="0" applyNumberFormat="1" applyFont="1" applyBorder="1" applyAlignment="1">
      <alignment horizontal="right" vertical="center"/>
    </xf>
    <xf numFmtId="171" fontId="8" fillId="0" borderId="74" xfId="0" applyNumberFormat="1" applyFont="1" applyBorder="1" applyAlignment="1">
      <alignment horizontal="right" vertical="center"/>
    </xf>
    <xf numFmtId="44" fontId="0" fillId="0" borderId="75" xfId="0" applyNumberFormat="1" applyBorder="1" applyAlignment="1">
      <alignment vertical="center"/>
    </xf>
    <xf numFmtId="44" fontId="0" fillId="0" borderId="45" xfId="0" applyNumberFormat="1" applyBorder="1" applyAlignment="1">
      <alignment horizontal="right" vertical="center"/>
    </xf>
    <xf numFmtId="0" fontId="3" fillId="5" borderId="79" xfId="0" applyFont="1" applyFill="1" applyBorder="1" applyAlignment="1">
      <alignment vertical="center"/>
    </xf>
    <xf numFmtId="44" fontId="3" fillId="5" borderId="71" xfId="0" applyNumberFormat="1" applyFont="1" applyFill="1" applyBorder="1" applyAlignment="1">
      <alignment horizontal="right" vertical="center"/>
    </xf>
    <xf numFmtId="44" fontId="3" fillId="5" borderId="80" xfId="0" applyNumberFormat="1" applyFont="1" applyFill="1" applyBorder="1" applyAlignment="1">
      <alignment horizontal="right" vertical="center"/>
    </xf>
    <xf numFmtId="171" fontId="3" fillId="5" borderId="81" xfId="0" applyNumberFormat="1" applyFont="1" applyFill="1" applyBorder="1" applyAlignment="1">
      <alignment horizontal="right" vertical="center"/>
    </xf>
    <xf numFmtId="0" fontId="3" fillId="5" borderId="82" xfId="0" applyFont="1" applyFill="1" applyBorder="1" applyAlignment="1">
      <alignment vertical="center"/>
    </xf>
    <xf numFmtId="44" fontId="3" fillId="5" borderId="68" xfId="0" applyNumberFormat="1" applyFont="1" applyFill="1" applyBorder="1" applyAlignment="1">
      <alignment vertical="center"/>
    </xf>
    <xf numFmtId="44" fontId="3" fillId="5" borderId="83" xfId="0" applyNumberFormat="1" applyFont="1" applyFill="1" applyBorder="1" applyAlignment="1">
      <alignment vertical="center"/>
    </xf>
    <xf numFmtId="171" fontId="0" fillId="0" borderId="0" xfId="0" applyNumberFormat="1" applyAlignment="1">
      <alignment vertical="center"/>
    </xf>
    <xf numFmtId="0" fontId="0" fillId="0" borderId="84" xfId="0" applyBorder="1" applyAlignment="1">
      <alignment vertical="center"/>
    </xf>
    <xf numFmtId="44" fontId="8" fillId="0" borderId="84" xfId="0" applyNumberFormat="1" applyFont="1" applyBorder="1" applyAlignment="1">
      <alignment horizontal="right" vertical="center"/>
    </xf>
    <xf numFmtId="171" fontId="8" fillId="0" borderId="85" xfId="0" applyNumberFormat="1" applyFont="1" applyBorder="1" applyAlignment="1">
      <alignment horizontal="right" vertical="center"/>
    </xf>
    <xf numFmtId="0" fontId="3" fillId="0" borderId="0" xfId="0" applyFont="1" applyAlignment="1">
      <alignment vertical="center"/>
    </xf>
    <xf numFmtId="0" fontId="3" fillId="5" borderId="84" xfId="0" applyFont="1" applyFill="1" applyBorder="1" applyAlignment="1">
      <alignment vertical="center"/>
    </xf>
    <xf numFmtId="44" fontId="3" fillId="5" borderId="23" xfId="0" applyNumberFormat="1" applyFont="1" applyFill="1" applyBorder="1" applyAlignment="1">
      <alignment horizontal="right" vertical="center"/>
    </xf>
    <xf numFmtId="44" fontId="3" fillId="5" borderId="85" xfId="0" applyNumberFormat="1" applyFont="1" applyFill="1" applyBorder="1" applyAlignment="1">
      <alignment horizontal="right" vertical="center"/>
    </xf>
    <xf numFmtId="44" fontId="3" fillId="5" borderId="84" xfId="0" applyNumberFormat="1" applyFont="1" applyFill="1" applyBorder="1" applyAlignment="1">
      <alignment horizontal="right" vertical="center"/>
    </xf>
    <xf numFmtId="171" fontId="3" fillId="5" borderId="85" xfId="0" applyNumberFormat="1" applyFont="1" applyFill="1" applyBorder="1" applyAlignment="1">
      <alignment horizontal="right" vertical="center"/>
    </xf>
    <xf numFmtId="0" fontId="3" fillId="5" borderId="72" xfId="0" applyFont="1" applyFill="1" applyBorder="1" applyAlignment="1">
      <alignment vertical="center"/>
    </xf>
    <xf numFmtId="44" fontId="3" fillId="5" borderId="23" xfId="0" applyNumberFormat="1" applyFont="1" applyFill="1" applyBorder="1" applyAlignment="1">
      <alignment vertical="center"/>
    </xf>
    <xf numFmtId="44" fontId="3" fillId="5" borderId="75" xfId="0" applyNumberFormat="1" applyFont="1" applyFill="1" applyBorder="1" applyAlignment="1">
      <alignment vertical="center"/>
    </xf>
    <xf numFmtId="0" fontId="8" fillId="0" borderId="10" xfId="0" applyFont="1" applyBorder="1" applyAlignment="1">
      <alignment vertical="center"/>
    </xf>
    <xf numFmtId="0" fontId="3" fillId="5" borderId="20" xfId="0" applyFont="1" applyFill="1" applyBorder="1" applyAlignment="1">
      <alignment vertical="center"/>
    </xf>
    <xf numFmtId="44" fontId="3" fillId="5" borderId="0" xfId="0" applyNumberFormat="1" applyFont="1" applyFill="1" applyAlignment="1">
      <alignment horizontal="right" vertical="center"/>
    </xf>
    <xf numFmtId="44" fontId="3" fillId="5" borderId="77" xfId="0" applyNumberFormat="1" applyFont="1" applyFill="1" applyBorder="1" applyAlignment="1">
      <alignment horizontal="right" vertical="center"/>
    </xf>
    <xf numFmtId="44" fontId="3" fillId="5" borderId="85" xfId="0" applyNumberFormat="1" applyFont="1" applyFill="1" applyBorder="1" applyAlignment="1">
      <alignment vertical="center"/>
    </xf>
    <xf numFmtId="0" fontId="3" fillId="5" borderId="37" xfId="0" applyFont="1" applyFill="1" applyBorder="1" applyAlignment="1">
      <alignment vertical="center"/>
    </xf>
    <xf numFmtId="44" fontId="3" fillId="5" borderId="4" xfId="0" applyNumberFormat="1" applyFont="1" applyFill="1" applyBorder="1" applyAlignment="1">
      <alignment horizontal="right" vertical="center"/>
    </xf>
    <xf numFmtId="44" fontId="3" fillId="5" borderId="78" xfId="0" applyNumberFormat="1" applyFont="1" applyFill="1" applyBorder="1" applyAlignment="1">
      <alignment horizontal="right" vertical="center"/>
    </xf>
    <xf numFmtId="44" fontId="3" fillId="5" borderId="86" xfId="0" applyNumberFormat="1" applyFont="1" applyFill="1" applyBorder="1" applyAlignment="1">
      <alignment horizontal="right" vertical="center"/>
    </xf>
    <xf numFmtId="171" fontId="3" fillId="5" borderId="87" xfId="0" applyNumberFormat="1" applyFont="1" applyFill="1" applyBorder="1" applyAlignment="1">
      <alignment horizontal="right" vertical="center"/>
    </xf>
    <xf numFmtId="0" fontId="3" fillId="5" borderId="86" xfId="0" applyFont="1" applyFill="1" applyBorder="1" applyAlignment="1">
      <alignment vertical="center"/>
    </xf>
    <xf numFmtId="44" fontId="3" fillId="5" borderId="36" xfId="0" applyNumberFormat="1" applyFont="1" applyFill="1" applyBorder="1" applyAlignment="1">
      <alignment horizontal="right" vertical="center"/>
    </xf>
    <xf numFmtId="44" fontId="3" fillId="5" borderId="87" xfId="0" applyNumberFormat="1" applyFont="1" applyFill="1" applyBorder="1" applyAlignment="1">
      <alignment vertical="center"/>
    </xf>
    <xf numFmtId="0" fontId="8" fillId="17" borderId="10" xfId="0" applyFont="1" applyFill="1" applyBorder="1" applyAlignment="1">
      <alignment vertical="center"/>
    </xf>
    <xf numFmtId="171" fontId="3" fillId="5" borderId="77" xfId="0" applyNumberFormat="1" applyFont="1" applyFill="1" applyBorder="1" applyAlignment="1">
      <alignment horizontal="right" vertical="center"/>
    </xf>
    <xf numFmtId="171" fontId="3" fillId="5" borderId="78" xfId="0" applyNumberFormat="1" applyFont="1" applyFill="1" applyBorder="1" applyAlignment="1">
      <alignment horizontal="right" vertical="center"/>
    </xf>
    <xf numFmtId="0" fontId="7" fillId="0" borderId="0" xfId="13" applyFill="1" applyBorder="1" applyAlignment="1" applyProtection="1">
      <alignment vertical="center"/>
    </xf>
    <xf numFmtId="42" fontId="35" fillId="0" borderId="0" xfId="0" applyNumberFormat="1" applyFont="1"/>
    <xf numFmtId="41" fontId="0" fillId="0" borderId="0" xfId="0" applyNumberFormat="1" applyAlignment="1">
      <alignment vertical="center"/>
    </xf>
    <xf numFmtId="0" fontId="8" fillId="0" borderId="0" xfId="0" applyFont="1" applyAlignment="1">
      <alignment vertical="center" wrapText="1"/>
    </xf>
    <xf numFmtId="0" fontId="8" fillId="3" borderId="0" xfId="0" applyFont="1" applyFill="1" applyAlignment="1">
      <alignment vertical="center"/>
    </xf>
    <xf numFmtId="0" fontId="0" fillId="3" borderId="0" xfId="0" applyFill="1" applyAlignment="1">
      <alignment vertical="center"/>
    </xf>
    <xf numFmtId="42" fontId="0" fillId="3" borderId="0" xfId="0" applyNumberFormat="1" applyFill="1" applyAlignment="1">
      <alignment vertical="center"/>
    </xf>
    <xf numFmtId="42" fontId="3" fillId="5" borderId="0" xfId="0" applyNumberFormat="1" applyFont="1" applyFill="1" applyAlignment="1">
      <alignment horizontal="right" vertical="center"/>
    </xf>
    <xf numFmtId="42" fontId="0" fillId="21" borderId="0" xfId="0" applyNumberFormat="1" applyFill="1" applyAlignment="1">
      <alignment vertical="center"/>
    </xf>
    <xf numFmtId="164" fontId="8" fillId="0" borderId="0" xfId="0" applyNumberFormat="1" applyFont="1" applyAlignment="1">
      <alignment vertical="center"/>
    </xf>
    <xf numFmtId="42" fontId="0" fillId="4" borderId="0" xfId="0" applyNumberFormat="1" applyFill="1" applyAlignment="1">
      <alignment vertical="center"/>
    </xf>
    <xf numFmtId="44" fontId="0" fillId="3" borderId="0" xfId="0" applyNumberFormat="1" applyFill="1" applyAlignment="1">
      <alignment vertical="center"/>
    </xf>
    <xf numFmtId="0" fontId="3" fillId="4" borderId="0" xfId="0" applyFont="1" applyFill="1" applyAlignment="1">
      <alignment horizontal="right" vertical="center" wrapText="1"/>
    </xf>
    <xf numFmtId="44" fontId="0" fillId="3" borderId="0" xfId="0" applyNumberFormat="1" applyFill="1" applyAlignment="1">
      <alignment vertical="center" wrapText="1"/>
    </xf>
    <xf numFmtId="44" fontId="0" fillId="3" borderId="88" xfId="0" applyNumberFormat="1" applyFill="1" applyBorder="1" applyAlignment="1">
      <alignment vertical="center" wrapText="1"/>
    </xf>
    <xf numFmtId="42" fontId="3" fillId="3" borderId="0" xfId="0" applyNumberFormat="1" applyFont="1" applyFill="1" applyAlignment="1">
      <alignment vertical="center"/>
    </xf>
    <xf numFmtId="42" fontId="3" fillId="0" borderId="0" xfId="0" applyNumberFormat="1" applyFont="1" applyAlignment="1">
      <alignment vertical="center"/>
    </xf>
    <xf numFmtId="42" fontId="3" fillId="3" borderId="88" xfId="0" applyNumberFormat="1" applyFont="1" applyFill="1" applyBorder="1" applyAlignment="1">
      <alignment vertical="center"/>
    </xf>
    <xf numFmtId="42" fontId="3" fillId="0" borderId="0" xfId="0" applyNumberFormat="1" applyFont="1" applyAlignment="1">
      <alignment horizontal="right" vertical="center"/>
    </xf>
    <xf numFmtId="0" fontId="3" fillId="5" borderId="23" xfId="0" applyFont="1" applyFill="1" applyBorder="1" applyAlignment="1">
      <alignment horizontal="right" vertical="center" wrapText="1"/>
    </xf>
    <xf numFmtId="0" fontId="3" fillId="4" borderId="59" xfId="0" applyFont="1" applyFill="1" applyBorder="1" applyAlignment="1">
      <alignment vertical="center" wrapText="1"/>
    </xf>
    <xf numFmtId="0" fontId="0" fillId="0" borderId="23" xfId="0" applyBorder="1" applyAlignment="1">
      <alignment vertical="center" wrapText="1"/>
    </xf>
    <xf numFmtId="0" fontId="3" fillId="4" borderId="33" xfId="0" applyFont="1" applyFill="1" applyBorder="1" applyAlignment="1">
      <alignment vertical="center" wrapText="1"/>
    </xf>
    <xf numFmtId="173" fontId="8" fillId="17" borderId="0" xfId="0" applyNumberFormat="1" applyFont="1" applyFill="1" applyAlignment="1">
      <alignment horizontal="right" vertical="center"/>
    </xf>
    <xf numFmtId="42" fontId="8" fillId="17" borderId="0" xfId="0" applyNumberFormat="1" applyFont="1" applyFill="1" applyAlignment="1">
      <alignment horizontal="right" vertical="center"/>
    </xf>
    <xf numFmtId="42" fontId="8" fillId="17" borderId="0" xfId="0" applyNumberFormat="1" applyFont="1" applyFill="1" applyAlignment="1">
      <alignment vertical="center"/>
    </xf>
    <xf numFmtId="1" fontId="0" fillId="0" borderId="0" xfId="0" applyNumberFormat="1" applyAlignment="1">
      <alignment vertical="center"/>
    </xf>
    <xf numFmtId="0" fontId="0" fillId="4" borderId="0" xfId="0" applyFill="1" applyAlignment="1">
      <alignment vertical="center"/>
    </xf>
    <xf numFmtId="41" fontId="0" fillId="4" borderId="0" xfId="0" applyNumberFormat="1" applyFill="1" applyAlignment="1">
      <alignment vertical="center"/>
    </xf>
    <xf numFmtId="42" fontId="8" fillId="3" borderId="0" xfId="0" applyNumberFormat="1" applyFont="1" applyFill="1" applyAlignment="1">
      <alignment vertical="center"/>
    </xf>
    <xf numFmtId="1" fontId="0" fillId="3" borderId="0" xfId="0" applyNumberFormat="1" applyFill="1" applyAlignment="1">
      <alignment vertical="center"/>
    </xf>
    <xf numFmtId="41" fontId="3" fillId="0" borderId="0" xfId="0" applyNumberFormat="1" applyFont="1" applyAlignment="1">
      <alignment vertical="center"/>
    </xf>
    <xf numFmtId="42" fontId="3" fillId="17" borderId="0" xfId="0" applyNumberFormat="1" applyFont="1" applyFill="1" applyAlignment="1">
      <alignment vertical="center"/>
    </xf>
    <xf numFmtId="0" fontId="0" fillId="0" borderId="0" xfId="0" applyAlignment="1">
      <alignment horizontal="center" vertical="center"/>
    </xf>
    <xf numFmtId="0" fontId="26" fillId="0" borderId="0" xfId="0" applyFont="1" applyAlignment="1">
      <alignment vertical="center"/>
    </xf>
    <xf numFmtId="44" fontId="0" fillId="3" borderId="23" xfId="0" applyNumberFormat="1" applyFill="1" applyBorder="1" applyAlignment="1">
      <alignment vertical="center"/>
    </xf>
    <xf numFmtId="42" fontId="0" fillId="0" borderId="34" xfId="0" applyNumberFormat="1" applyBorder="1" applyAlignment="1">
      <alignment vertical="center"/>
    </xf>
    <xf numFmtId="41" fontId="8" fillId="0" borderId="0" xfId="0" applyNumberFormat="1" applyFont="1" applyAlignment="1">
      <alignment vertical="center"/>
    </xf>
    <xf numFmtId="166" fontId="3" fillId="5" borderId="0" xfId="0" applyNumberFormat="1" applyFont="1" applyFill="1" applyAlignment="1">
      <alignment horizontal="right"/>
    </xf>
    <xf numFmtId="166" fontId="0" fillId="0" borderId="0" xfId="0" applyNumberFormat="1"/>
    <xf numFmtId="0" fontId="1" fillId="0" borderId="21" xfId="0" applyFont="1" applyBorder="1" applyAlignment="1">
      <alignment wrapText="1"/>
    </xf>
    <xf numFmtId="0" fontId="1" fillId="0" borderId="23" xfId="0" applyFont="1" applyBorder="1" applyAlignment="1">
      <alignment horizontal="left" vertical="center" wrapText="1"/>
    </xf>
    <xf numFmtId="0" fontId="1" fillId="0" borderId="23" xfId="0" applyFont="1" applyBorder="1" applyAlignment="1">
      <alignment horizontal="center" vertical="center" wrapText="1"/>
    </xf>
    <xf numFmtId="0" fontId="7" fillId="0" borderId="23" xfId="13" applyBorder="1" applyAlignment="1" applyProtection="1">
      <alignment horizontal="left" vertical="center" wrapText="1"/>
    </xf>
    <xf numFmtId="0" fontId="8" fillId="0" borderId="0" xfId="0" applyFont="1" applyAlignment="1">
      <alignment horizontal="left" vertical="center"/>
    </xf>
    <xf numFmtId="0" fontId="1" fillId="0" borderId="0" xfId="0" applyFont="1"/>
    <xf numFmtId="42" fontId="37" fillId="0" borderId="0" xfId="0" applyNumberFormat="1" applyFont="1"/>
    <xf numFmtId="0" fontId="0" fillId="0" borderId="23" xfId="0" applyBorder="1" applyAlignment="1">
      <alignment horizontal="left" vertical="center" wrapText="1"/>
    </xf>
    <xf numFmtId="0" fontId="7" fillId="0" borderId="23" xfId="13" applyFill="1" applyBorder="1" applyAlignment="1" applyProtection="1">
      <alignment horizontal="left" vertical="center" wrapText="1"/>
    </xf>
    <xf numFmtId="41" fontId="0" fillId="0" borderId="0" xfId="0" applyNumberFormat="1" applyAlignment="1">
      <alignment vertical="center" wrapText="1"/>
    </xf>
    <xf numFmtId="0" fontId="1" fillId="4" borderId="23" xfId="0" applyFont="1" applyFill="1" applyBorder="1" applyAlignment="1">
      <alignment vertical="center" wrapText="1"/>
    </xf>
    <xf numFmtId="0" fontId="0" fillId="0" borderId="39" xfId="0" applyBorder="1" applyAlignment="1">
      <alignment vertical="center"/>
    </xf>
    <xf numFmtId="0" fontId="1" fillId="0" borderId="1" xfId="0" applyFont="1" applyBorder="1" applyAlignment="1">
      <alignment vertical="center"/>
    </xf>
    <xf numFmtId="0" fontId="0" fillId="21" borderId="0" xfId="0" applyFill="1"/>
    <xf numFmtId="14" fontId="3" fillId="4" borderId="40" xfId="0" applyNumberFormat="1" applyFont="1" applyFill="1" applyBorder="1" applyAlignment="1">
      <alignment wrapText="1"/>
    </xf>
    <xf numFmtId="2" fontId="3" fillId="21" borderId="0" xfId="0" applyNumberFormat="1" applyFont="1" applyFill="1" applyAlignment="1">
      <alignment vertical="center"/>
    </xf>
    <xf numFmtId="0" fontId="0" fillId="20" borderId="23" xfId="0" applyFill="1" applyBorder="1" applyAlignment="1" applyProtection="1">
      <alignment vertical="center"/>
      <protection locked="0"/>
    </xf>
    <xf numFmtId="0" fontId="1" fillId="20" borderId="23" xfId="0" applyFont="1" applyFill="1" applyBorder="1" applyAlignment="1" applyProtection="1">
      <alignment horizontal="right" vertical="center"/>
      <protection locked="0"/>
    </xf>
    <xf numFmtId="1" fontId="8" fillId="20" borderId="23" xfId="0" applyNumberFormat="1" applyFont="1" applyFill="1" applyBorder="1" applyAlignment="1" applyProtection="1">
      <alignment horizontal="right" vertical="center"/>
      <protection locked="0"/>
    </xf>
    <xf numFmtId="0" fontId="8" fillId="20" borderId="23" xfId="0" applyFont="1" applyFill="1" applyBorder="1" applyAlignment="1" applyProtection="1">
      <alignment horizontal="right" vertical="center"/>
      <protection locked="0"/>
    </xf>
    <xf numFmtId="2" fontId="8" fillId="20" borderId="23" xfId="0" applyNumberFormat="1" applyFont="1" applyFill="1" applyBorder="1" applyAlignment="1" applyProtection="1">
      <alignment horizontal="right" vertical="center"/>
      <protection locked="0"/>
    </xf>
    <xf numFmtId="14" fontId="8" fillId="20" borderId="23" xfId="0" applyNumberFormat="1" applyFont="1" applyFill="1" applyBorder="1" applyAlignment="1" applyProtection="1">
      <alignment horizontal="right" vertical="center"/>
      <protection locked="0"/>
    </xf>
    <xf numFmtId="0" fontId="8" fillId="20" borderId="23" xfId="0" applyFont="1" applyFill="1" applyBorder="1" applyAlignment="1" applyProtection="1">
      <alignment horizontal="right" vertical="center" wrapText="1"/>
      <protection locked="0"/>
    </xf>
    <xf numFmtId="2" fontId="0" fillId="20" borderId="23" xfId="0" applyNumberFormat="1" applyFill="1" applyBorder="1" applyAlignment="1" applyProtection="1">
      <alignment horizontal="right" vertical="center"/>
      <protection locked="0"/>
    </xf>
    <xf numFmtId="2" fontId="0" fillId="20" borderId="21" xfId="0" applyNumberFormat="1" applyFill="1" applyBorder="1" applyAlignment="1" applyProtection="1">
      <alignment horizontal="right" vertical="center"/>
      <protection locked="0"/>
    </xf>
    <xf numFmtId="2" fontId="8" fillId="20" borderId="21" xfId="0" applyNumberFormat="1" applyFont="1" applyFill="1" applyBorder="1" applyAlignment="1" applyProtection="1">
      <alignment horizontal="right" vertical="center"/>
      <protection locked="0"/>
    </xf>
    <xf numFmtId="164" fontId="8" fillId="20" borderId="23" xfId="0" applyNumberFormat="1" applyFont="1" applyFill="1" applyBorder="1" applyAlignment="1" applyProtection="1">
      <alignment horizontal="right" vertical="center"/>
      <protection locked="0"/>
    </xf>
    <xf numFmtId="9" fontId="8" fillId="20" borderId="23" xfId="0" applyNumberFormat="1" applyFont="1" applyFill="1" applyBorder="1" applyAlignment="1" applyProtection="1">
      <alignment horizontal="right" vertical="center"/>
      <protection locked="0"/>
    </xf>
    <xf numFmtId="2" fontId="0" fillId="20" borderId="22" xfId="0" applyNumberFormat="1" applyFill="1" applyBorder="1" applyAlignment="1" applyProtection="1">
      <alignment horizontal="right" vertical="center"/>
      <protection locked="0"/>
    </xf>
    <xf numFmtId="42" fontId="0" fillId="20" borderId="23" xfId="0" applyNumberFormat="1" applyFill="1" applyBorder="1" applyAlignment="1" applyProtection="1">
      <alignment vertical="center"/>
      <protection locked="0"/>
    </xf>
    <xf numFmtId="42" fontId="0" fillId="20" borderId="21" xfId="0" applyNumberFormat="1" applyFill="1" applyBorder="1" applyAlignment="1" applyProtection="1">
      <alignment vertical="center"/>
      <protection locked="0"/>
    </xf>
    <xf numFmtId="0" fontId="8" fillId="20" borderId="23" xfId="0" applyFont="1" applyFill="1" applyBorder="1" applyAlignment="1" applyProtection="1">
      <alignment vertical="center"/>
      <protection locked="0"/>
    </xf>
    <xf numFmtId="0" fontId="8" fillId="20" borderId="21" xfId="0" applyFont="1" applyFill="1" applyBorder="1" applyAlignment="1" applyProtection="1">
      <alignment vertical="center"/>
      <protection locked="0"/>
    </xf>
    <xf numFmtId="42" fontId="8" fillId="20" borderId="59" xfId="0" applyNumberFormat="1" applyFont="1" applyFill="1" applyBorder="1" applyAlignment="1" applyProtection="1">
      <alignment horizontal="center" vertical="center"/>
      <protection locked="0"/>
    </xf>
    <xf numFmtId="0" fontId="3" fillId="20" borderId="6" xfId="0" applyFont="1" applyFill="1" applyBorder="1" applyAlignment="1" applyProtection="1">
      <alignment vertical="center"/>
      <protection locked="0"/>
    </xf>
    <xf numFmtId="0" fontId="3" fillId="20" borderId="5" xfId="0" applyFont="1" applyFill="1" applyBorder="1" applyAlignment="1" applyProtection="1">
      <alignment vertical="center"/>
      <protection locked="0"/>
    </xf>
    <xf numFmtId="0" fontId="1" fillId="0" borderId="0" xfId="0" applyFont="1" applyAlignment="1">
      <alignment wrapText="1"/>
    </xf>
    <xf numFmtId="0" fontId="32" fillId="0" borderId="0" xfId="0" applyFont="1"/>
    <xf numFmtId="44" fontId="3" fillId="5" borderId="0" xfId="0" applyNumberFormat="1" applyFont="1" applyFill="1" applyAlignment="1">
      <alignment vertical="center"/>
    </xf>
    <xf numFmtId="0" fontId="3" fillId="0" borderId="0" xfId="0" applyFont="1" applyAlignment="1">
      <alignment horizontal="center" vertical="center" wrapText="1"/>
    </xf>
    <xf numFmtId="165" fontId="1" fillId="6" borderId="3" xfId="3" applyNumberFormat="1" applyFont="1" applyFill="1" applyBorder="1" applyProtection="1"/>
    <xf numFmtId="165" fontId="1" fillId="6" borderId="4" xfId="3" applyNumberFormat="1" applyFont="1" applyFill="1" applyBorder="1" applyProtection="1"/>
    <xf numFmtId="165" fontId="1" fillId="7" borderId="3" xfId="3" applyNumberFormat="1" applyFont="1" applyFill="1" applyBorder="1" applyProtection="1"/>
    <xf numFmtId="165" fontId="1" fillId="7" borderId="0" xfId="3" applyNumberFormat="1" applyFont="1" applyFill="1" applyBorder="1" applyProtection="1"/>
    <xf numFmtId="165" fontId="1" fillId="7" borderId="4" xfId="3" applyNumberFormat="1" applyFont="1" applyFill="1" applyBorder="1" applyProtection="1"/>
    <xf numFmtId="0" fontId="1" fillId="0" borderId="0" xfId="0" applyFont="1" applyAlignment="1">
      <alignment vertical="center" wrapText="1"/>
    </xf>
    <xf numFmtId="0" fontId="8" fillId="0" borderId="0" xfId="0" applyFont="1" applyAlignment="1">
      <alignment horizontal="right" vertical="center"/>
    </xf>
    <xf numFmtId="0" fontId="7" fillId="0" borderId="1" xfId="13" applyBorder="1" applyAlignment="1" applyProtection="1">
      <alignment vertical="center"/>
    </xf>
    <xf numFmtId="0" fontId="13" fillId="0" borderId="5" xfId="0" applyFont="1" applyBorder="1" applyAlignment="1">
      <alignment horizontal="left" vertical="center"/>
    </xf>
    <xf numFmtId="42" fontId="3" fillId="14" borderId="23" xfId="0" applyNumberFormat="1" applyFont="1" applyFill="1" applyBorder="1"/>
    <xf numFmtId="9" fontId="8" fillId="14" borderId="23" xfId="0" applyNumberFormat="1" applyFont="1" applyFill="1" applyBorder="1" applyAlignment="1">
      <alignment vertical="center"/>
    </xf>
    <xf numFmtId="0" fontId="1" fillId="20" borderId="23" xfId="0" applyFont="1" applyFill="1" applyBorder="1" applyAlignment="1" applyProtection="1">
      <alignment horizontal="center" vertical="center"/>
      <protection locked="0"/>
    </xf>
    <xf numFmtId="42" fontId="8" fillId="20" borderId="23" xfId="0" applyNumberFormat="1" applyFont="1" applyFill="1" applyBorder="1" applyAlignment="1" applyProtection="1">
      <alignment horizontal="center" vertical="center"/>
      <protection locked="0"/>
    </xf>
    <xf numFmtId="2" fontId="3" fillId="0" borderId="0" xfId="0" applyNumberFormat="1" applyFont="1" applyAlignment="1">
      <alignment horizontal="right" vertical="center"/>
    </xf>
    <xf numFmtId="0" fontId="10" fillId="4" borderId="56" xfId="0" applyFont="1" applyFill="1" applyBorder="1" applyAlignment="1" applyProtection="1">
      <alignment vertical="center"/>
      <protection locked="0"/>
    </xf>
    <xf numFmtId="167" fontId="10" fillId="4" borderId="43" xfId="0" applyNumberFormat="1" applyFont="1" applyFill="1" applyBorder="1" applyAlignment="1" applyProtection="1">
      <alignment vertical="center"/>
      <protection locked="0"/>
    </xf>
    <xf numFmtId="167" fontId="10" fillId="4" borderId="58" xfId="0" applyNumberFormat="1" applyFont="1" applyFill="1" applyBorder="1" applyAlignment="1" applyProtection="1">
      <alignment vertical="center"/>
      <protection locked="0"/>
    </xf>
    <xf numFmtId="1" fontId="10" fillId="4" borderId="5" xfId="0" applyNumberFormat="1" applyFont="1" applyFill="1" applyBorder="1" applyAlignment="1" applyProtection="1">
      <alignment vertical="center"/>
      <protection locked="0"/>
    </xf>
    <xf numFmtId="0" fontId="10" fillId="4" borderId="19" xfId="0" applyFont="1" applyFill="1" applyBorder="1" applyAlignment="1" applyProtection="1">
      <alignment vertical="center"/>
      <protection locked="0"/>
    </xf>
    <xf numFmtId="0" fontId="3" fillId="4" borderId="57" xfId="0" applyFont="1" applyFill="1" applyBorder="1" applyAlignment="1" applyProtection="1">
      <alignment vertical="center"/>
      <protection locked="0"/>
    </xf>
    <xf numFmtId="0" fontId="3" fillId="4" borderId="55" xfId="0" applyFont="1" applyFill="1" applyBorder="1" applyAlignment="1" applyProtection="1">
      <alignment vertical="center"/>
      <protection locked="0"/>
    </xf>
    <xf numFmtId="0" fontId="3" fillId="4" borderId="5" xfId="0" applyFont="1" applyFill="1" applyBorder="1" applyAlignment="1" applyProtection="1">
      <alignment vertical="center"/>
      <protection locked="0"/>
    </xf>
    <xf numFmtId="167" fontId="5" fillId="4" borderId="43" xfId="0" applyNumberFormat="1" applyFont="1" applyFill="1" applyBorder="1" applyAlignment="1" applyProtection="1">
      <alignment vertical="center"/>
      <protection locked="0"/>
    </xf>
    <xf numFmtId="1" fontId="10" fillId="4" borderId="58" xfId="0" applyNumberFormat="1" applyFont="1" applyFill="1" applyBorder="1" applyAlignment="1" applyProtection="1">
      <alignment vertical="center"/>
      <protection locked="0"/>
    </xf>
    <xf numFmtId="1" fontId="10" fillId="4" borderId="55" xfId="0" applyNumberFormat="1" applyFont="1" applyFill="1" applyBorder="1" applyAlignment="1" applyProtection="1">
      <alignment vertical="center"/>
      <protection locked="0"/>
    </xf>
    <xf numFmtId="1" fontId="10" fillId="4" borderId="32" xfId="0" applyNumberFormat="1" applyFont="1" applyFill="1" applyBorder="1" applyAlignment="1" applyProtection="1">
      <alignment vertical="center"/>
      <protection locked="0"/>
    </xf>
    <xf numFmtId="42" fontId="0" fillId="10" borderId="23" xfId="0" applyNumberFormat="1" applyFill="1" applyBorder="1" applyAlignment="1">
      <alignment vertical="center"/>
    </xf>
    <xf numFmtId="0" fontId="3" fillId="4" borderId="1" xfId="0" applyFont="1" applyFill="1" applyBorder="1" applyAlignment="1" applyProtection="1">
      <alignment vertical="center"/>
      <protection locked="0"/>
    </xf>
    <xf numFmtId="0" fontId="3" fillId="4" borderId="90" xfId="0" applyFont="1" applyFill="1" applyBorder="1" applyAlignment="1" applyProtection="1">
      <alignment vertical="center"/>
      <protection locked="0"/>
    </xf>
    <xf numFmtId="0" fontId="3" fillId="4" borderId="91" xfId="0" applyFont="1" applyFill="1" applyBorder="1" applyAlignment="1" applyProtection="1">
      <alignment vertical="center"/>
      <protection locked="0"/>
    </xf>
    <xf numFmtId="1" fontId="3" fillId="20" borderId="47" xfId="0" applyNumberFormat="1" applyFont="1" applyFill="1" applyBorder="1" applyAlignment="1" applyProtection="1">
      <alignment vertical="center"/>
      <protection locked="0"/>
    </xf>
    <xf numFmtId="1" fontId="3" fillId="4" borderId="47" xfId="0" applyNumberFormat="1" applyFont="1" applyFill="1" applyBorder="1" applyAlignment="1" applyProtection="1">
      <alignment vertical="center"/>
      <protection locked="0"/>
    </xf>
    <xf numFmtId="0" fontId="3" fillId="4" borderId="78"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3" fillId="20" borderId="78" xfId="0" applyFont="1" applyFill="1" applyBorder="1" applyAlignment="1" applyProtection="1">
      <alignment horizontal="center" vertical="center" wrapText="1"/>
      <protection locked="0"/>
    </xf>
    <xf numFmtId="0" fontId="3" fillId="20" borderId="32" xfId="0" applyFont="1" applyFill="1" applyBorder="1" applyAlignment="1" applyProtection="1">
      <alignment horizontal="center" vertical="center" wrapText="1"/>
      <protection locked="0"/>
    </xf>
    <xf numFmtId="0" fontId="3" fillId="4" borderId="37" xfId="0" applyFont="1" applyFill="1" applyBorder="1" applyAlignment="1" applyProtection="1">
      <alignment horizontal="center" vertical="center" wrapText="1"/>
      <protection locked="0"/>
    </xf>
    <xf numFmtId="0" fontId="1" fillId="20" borderId="24" xfId="0" applyFont="1" applyFill="1" applyBorder="1" applyAlignment="1" applyProtection="1">
      <alignment vertical="center"/>
      <protection locked="0"/>
    </xf>
    <xf numFmtId="167" fontId="1" fillId="20" borderId="25" xfId="0" applyNumberFormat="1" applyFont="1" applyFill="1" applyBorder="1" applyAlignment="1" applyProtection="1">
      <alignment vertical="center"/>
      <protection locked="0"/>
    </xf>
    <xf numFmtId="1" fontId="1" fillId="20" borderId="25" xfId="0" applyNumberFormat="1" applyFont="1" applyFill="1" applyBorder="1" applyAlignment="1" applyProtection="1">
      <alignment vertical="center"/>
      <protection locked="0"/>
    </xf>
    <xf numFmtId="0" fontId="1" fillId="20" borderId="25" xfId="0" applyFont="1" applyFill="1" applyBorder="1" applyAlignment="1" applyProtection="1">
      <alignment vertical="center"/>
      <protection locked="0"/>
    </xf>
    <xf numFmtId="0" fontId="1" fillId="20" borderId="26" xfId="0" applyFont="1" applyFill="1" applyBorder="1" applyAlignment="1" applyProtection="1">
      <alignment vertical="center"/>
      <protection locked="0"/>
    </xf>
    <xf numFmtId="167" fontId="1" fillId="20" borderId="27" xfId="0" applyNumberFormat="1" applyFont="1" applyFill="1" applyBorder="1" applyAlignment="1" applyProtection="1">
      <alignment vertical="center"/>
      <protection locked="0"/>
    </xf>
    <xf numFmtId="1" fontId="1" fillId="20" borderId="27" xfId="0" applyNumberFormat="1" applyFont="1" applyFill="1" applyBorder="1" applyAlignment="1" applyProtection="1">
      <alignment vertical="center"/>
      <protection locked="0"/>
    </xf>
    <xf numFmtId="0" fontId="1" fillId="20" borderId="27" xfId="0" applyFont="1" applyFill="1" applyBorder="1" applyAlignment="1" applyProtection="1">
      <alignment vertical="center"/>
      <protection locked="0"/>
    </xf>
    <xf numFmtId="0" fontId="1" fillId="20" borderId="28" xfId="0" applyFont="1" applyFill="1" applyBorder="1" applyAlignment="1" applyProtection="1">
      <alignment vertical="center"/>
      <protection locked="0"/>
    </xf>
    <xf numFmtId="1" fontId="1" fillId="20" borderId="29" xfId="0" applyNumberFormat="1" applyFont="1" applyFill="1" applyBorder="1" applyAlignment="1" applyProtection="1">
      <alignment vertical="center"/>
      <protection locked="0"/>
    </xf>
    <xf numFmtId="0" fontId="1" fillId="20" borderId="30" xfId="0" applyFont="1" applyFill="1" applyBorder="1" applyAlignment="1" applyProtection="1">
      <alignment vertical="center"/>
      <protection locked="0"/>
    </xf>
    <xf numFmtId="167" fontId="1" fillId="20" borderId="31" xfId="0" applyNumberFormat="1" applyFont="1" applyFill="1" applyBorder="1" applyAlignment="1" applyProtection="1">
      <alignment vertical="center"/>
      <protection locked="0"/>
    </xf>
    <xf numFmtId="1" fontId="1" fillId="20" borderId="31" xfId="0" applyNumberFormat="1" applyFont="1" applyFill="1" applyBorder="1" applyAlignment="1" applyProtection="1">
      <alignment vertical="center"/>
      <protection locked="0"/>
    </xf>
    <xf numFmtId="0" fontId="1" fillId="20" borderId="31" xfId="0" applyFont="1" applyFill="1" applyBorder="1" applyAlignment="1" applyProtection="1">
      <alignment vertical="center"/>
      <protection locked="0"/>
    </xf>
    <xf numFmtId="0" fontId="1" fillId="4" borderId="24" xfId="0" applyFont="1" applyFill="1" applyBorder="1" applyAlignment="1" applyProtection="1">
      <alignment vertical="center"/>
      <protection locked="0"/>
    </xf>
    <xf numFmtId="167" fontId="1" fillId="4" borderId="25" xfId="0" applyNumberFormat="1" applyFont="1" applyFill="1" applyBorder="1" applyAlignment="1" applyProtection="1">
      <alignment vertical="center"/>
      <protection locked="0"/>
    </xf>
    <xf numFmtId="1" fontId="1" fillId="4" borderId="25" xfId="0" applyNumberFormat="1" applyFont="1" applyFill="1" applyBorder="1" applyAlignment="1" applyProtection="1">
      <alignment vertical="center"/>
      <protection locked="0"/>
    </xf>
    <xf numFmtId="0" fontId="1" fillId="4" borderId="25" xfId="0" applyFont="1" applyFill="1" applyBorder="1" applyAlignment="1" applyProtection="1">
      <alignment vertical="center"/>
      <protection locked="0"/>
    </xf>
    <xf numFmtId="0" fontId="1" fillId="4" borderId="26" xfId="0" applyFont="1" applyFill="1" applyBorder="1" applyAlignment="1" applyProtection="1">
      <alignment vertical="center"/>
      <protection locked="0"/>
    </xf>
    <xf numFmtId="167" fontId="1" fillId="4" borderId="27" xfId="0" applyNumberFormat="1" applyFont="1" applyFill="1" applyBorder="1" applyAlignment="1" applyProtection="1">
      <alignment vertical="center"/>
      <protection locked="0"/>
    </xf>
    <xf numFmtId="1" fontId="1" fillId="4" borderId="27" xfId="0" applyNumberFormat="1" applyFont="1" applyFill="1" applyBorder="1" applyAlignment="1" applyProtection="1">
      <alignment vertical="center"/>
      <protection locked="0"/>
    </xf>
    <xf numFmtId="0" fontId="1" fillId="4" borderId="27" xfId="0" applyFont="1" applyFill="1" applyBorder="1" applyAlignment="1" applyProtection="1">
      <alignment vertical="center"/>
      <protection locked="0"/>
    </xf>
    <xf numFmtId="1" fontId="1" fillId="4" borderId="30" xfId="0" applyNumberFormat="1" applyFont="1" applyFill="1" applyBorder="1" applyAlignment="1" applyProtection="1">
      <alignment vertical="center"/>
      <protection locked="0"/>
    </xf>
    <xf numFmtId="167" fontId="1" fillId="4" borderId="31" xfId="0" applyNumberFormat="1" applyFont="1" applyFill="1" applyBorder="1" applyAlignment="1" applyProtection="1">
      <alignment vertical="center"/>
      <protection locked="0"/>
    </xf>
    <xf numFmtId="170" fontId="1" fillId="4" borderId="32" xfId="0" applyNumberFormat="1" applyFont="1" applyFill="1" applyBorder="1" applyAlignment="1" applyProtection="1">
      <alignment vertical="center"/>
      <protection locked="0"/>
    </xf>
    <xf numFmtId="1" fontId="1" fillId="4" borderId="31" xfId="0" applyNumberFormat="1" applyFont="1" applyFill="1" applyBorder="1" applyAlignment="1" applyProtection="1">
      <alignment vertical="center"/>
      <protection locked="0"/>
    </xf>
    <xf numFmtId="0" fontId="1" fillId="4" borderId="28" xfId="0" applyFont="1" applyFill="1" applyBorder="1" applyAlignment="1" applyProtection="1">
      <alignment vertical="center"/>
      <protection locked="0"/>
    </xf>
    <xf numFmtId="1" fontId="1" fillId="4" borderId="29" xfId="0" applyNumberFormat="1" applyFont="1" applyFill="1" applyBorder="1" applyAlignment="1" applyProtection="1">
      <alignment vertical="center"/>
      <protection locked="0"/>
    </xf>
    <xf numFmtId="0" fontId="1" fillId="4" borderId="30" xfId="0" applyFont="1" applyFill="1" applyBorder="1" applyAlignment="1" applyProtection="1">
      <alignment vertical="center"/>
      <protection locked="0"/>
    </xf>
    <xf numFmtId="0" fontId="1" fillId="4" borderId="31" xfId="0" applyFont="1" applyFill="1" applyBorder="1" applyAlignment="1" applyProtection="1">
      <alignment vertical="center"/>
      <protection locked="0"/>
    </xf>
    <xf numFmtId="1" fontId="1" fillId="4" borderId="51" xfId="0" applyNumberFormat="1" applyFont="1" applyFill="1" applyBorder="1" applyAlignment="1" applyProtection="1">
      <alignment vertical="center"/>
      <protection locked="0"/>
    </xf>
    <xf numFmtId="1" fontId="1" fillId="4" borderId="52" xfId="0" applyNumberFormat="1" applyFont="1" applyFill="1" applyBorder="1" applyAlignment="1" applyProtection="1">
      <alignment vertical="center"/>
      <protection locked="0"/>
    </xf>
    <xf numFmtId="1" fontId="1" fillId="4" borderId="53" xfId="0" applyNumberFormat="1" applyFont="1" applyFill="1" applyBorder="1" applyAlignment="1" applyProtection="1">
      <alignment vertical="center"/>
      <protection locked="0"/>
    </xf>
    <xf numFmtId="0" fontId="1" fillId="4" borderId="33" xfId="0" applyFont="1" applyFill="1" applyBorder="1" applyAlignment="1" applyProtection="1">
      <alignment vertical="center"/>
      <protection locked="0"/>
    </xf>
    <xf numFmtId="167" fontId="1" fillId="4" borderId="23" xfId="0" applyNumberFormat="1" applyFont="1" applyFill="1" applyBorder="1" applyAlignment="1" applyProtection="1">
      <alignment vertical="center"/>
      <protection locked="0"/>
    </xf>
    <xf numFmtId="1" fontId="1" fillId="4" borderId="45" xfId="0" applyNumberFormat="1" applyFont="1" applyFill="1" applyBorder="1" applyAlignment="1" applyProtection="1">
      <alignment vertical="center"/>
      <protection locked="0"/>
    </xf>
    <xf numFmtId="0" fontId="1" fillId="4" borderId="34" xfId="0" applyFont="1" applyFill="1" applyBorder="1" applyAlignment="1" applyProtection="1">
      <alignment vertical="center"/>
      <protection locked="0"/>
    </xf>
    <xf numFmtId="1" fontId="1" fillId="4" borderId="40" xfId="0" applyNumberFormat="1" applyFont="1" applyFill="1" applyBorder="1" applyAlignment="1" applyProtection="1">
      <alignment vertical="center"/>
      <protection locked="0"/>
    </xf>
    <xf numFmtId="0" fontId="1" fillId="4" borderId="35" xfId="0" applyFont="1" applyFill="1" applyBorder="1" applyAlignment="1" applyProtection="1">
      <alignment vertical="center"/>
      <protection locked="0"/>
    </xf>
    <xf numFmtId="167" fontId="1" fillId="4" borderId="36" xfId="0" applyNumberFormat="1" applyFont="1" applyFill="1" applyBorder="1" applyAlignment="1" applyProtection="1">
      <alignment vertical="center"/>
      <protection locked="0"/>
    </xf>
    <xf numFmtId="1" fontId="1" fillId="4" borderId="54" xfId="0" applyNumberFormat="1" applyFont="1" applyFill="1" applyBorder="1" applyAlignment="1" applyProtection="1">
      <alignment vertical="center"/>
      <protection locked="0"/>
    </xf>
    <xf numFmtId="0" fontId="7" fillId="17" borderId="23" xfId="13" applyFill="1" applyBorder="1" applyAlignment="1" applyProtection="1">
      <alignment horizontal="left" vertical="center" wrapText="1"/>
    </xf>
    <xf numFmtId="0" fontId="1" fillId="0" borderId="23" xfId="0" applyFont="1" applyBorder="1" applyAlignment="1">
      <alignment vertical="center" wrapText="1"/>
    </xf>
    <xf numFmtId="44" fontId="3" fillId="0" borderId="0" xfId="0" applyNumberFormat="1" applyFont="1" applyAlignment="1">
      <alignment horizontal="right" vertical="center"/>
    </xf>
    <xf numFmtId="44" fontId="3" fillId="4" borderId="23" xfId="0" applyNumberFormat="1" applyFont="1" applyFill="1" applyBorder="1" applyAlignment="1">
      <alignment horizontal="right" vertical="center"/>
    </xf>
    <xf numFmtId="44" fontId="0" fillId="10" borderId="23" xfId="0" applyNumberFormat="1" applyFill="1" applyBorder="1" applyAlignment="1">
      <alignment vertical="center"/>
    </xf>
    <xf numFmtId="44" fontId="0" fillId="10" borderId="23" xfId="27" applyFont="1" applyFill="1" applyBorder="1"/>
    <xf numFmtId="44" fontId="1" fillId="10" borderId="23" xfId="0" applyNumberFormat="1" applyFont="1" applyFill="1" applyBorder="1" applyAlignment="1">
      <alignment vertical="center" wrapText="1"/>
    </xf>
    <xf numFmtId="44" fontId="0" fillId="10" borderId="23" xfId="0" applyNumberFormat="1" applyFill="1" applyBorder="1" applyAlignment="1">
      <alignment vertical="center" wrapText="1"/>
    </xf>
    <xf numFmtId="0" fontId="3" fillId="0" borderId="23" xfId="0" applyFont="1" applyBorder="1" applyAlignment="1">
      <alignment horizontal="left" vertical="center" wrapText="1"/>
    </xf>
    <xf numFmtId="0" fontId="3" fillId="0" borderId="23" xfId="0" applyFont="1" applyBorder="1" applyAlignment="1">
      <alignment horizontal="left" vertical="center"/>
    </xf>
    <xf numFmtId="0" fontId="3" fillId="17" borderId="23" xfId="0" applyFont="1" applyFill="1" applyBorder="1" applyAlignment="1">
      <alignment horizontal="left" vertical="center"/>
    </xf>
    <xf numFmtId="0" fontId="1" fillId="0" borderId="23" xfId="0" applyFont="1" applyBorder="1" applyAlignment="1">
      <alignment horizontal="left" vertical="center"/>
    </xf>
    <xf numFmtId="0" fontId="3" fillId="0" borderId="23" xfId="0" applyFont="1" applyBorder="1"/>
    <xf numFmtId="44" fontId="1" fillId="10" borderId="23" xfId="0" applyNumberFormat="1" applyFont="1" applyFill="1" applyBorder="1" applyAlignment="1">
      <alignment horizontal="right" vertical="center" wrapText="1"/>
    </xf>
    <xf numFmtId="41" fontId="3" fillId="4" borderId="23" xfId="0" applyNumberFormat="1" applyFont="1" applyFill="1" applyBorder="1" applyAlignment="1">
      <alignment horizontal="center" vertical="center" wrapText="1"/>
    </xf>
    <xf numFmtId="0" fontId="1" fillId="0" borderId="22" xfId="0" applyFont="1" applyBorder="1" applyAlignment="1">
      <alignment vertical="center" wrapText="1"/>
    </xf>
    <xf numFmtId="0" fontId="7" fillId="0" borderId="23" xfId="13" applyFill="1" applyBorder="1" applyAlignment="1" applyProtection="1">
      <alignment vertical="center"/>
    </xf>
    <xf numFmtId="44" fontId="3" fillId="4" borderId="23" xfId="0" applyNumberFormat="1" applyFont="1" applyFill="1" applyBorder="1" applyAlignment="1">
      <alignment horizontal="center" vertical="center" wrapText="1"/>
    </xf>
    <xf numFmtId="0" fontId="1" fillId="0" borderId="23" xfId="0" applyFont="1" applyBorder="1" applyAlignment="1">
      <alignment vertical="center"/>
    </xf>
    <xf numFmtId="0" fontId="3" fillId="4" borderId="23" xfId="0" applyFont="1" applyFill="1" applyBorder="1"/>
    <xf numFmtId="0" fontId="1" fillId="0" borderId="23" xfId="0" applyFont="1" applyBorder="1" applyAlignment="1">
      <alignment horizontal="right" vertical="center"/>
    </xf>
    <xf numFmtId="44" fontId="0" fillId="0" borderId="23" xfId="0" applyNumberFormat="1" applyBorder="1" applyAlignment="1">
      <alignment horizontal="center" vertical="center"/>
    </xf>
    <xf numFmtId="44" fontId="8" fillId="0" borderId="0" xfId="0" applyNumberFormat="1" applyFont="1" applyAlignment="1">
      <alignment horizontal="center" vertical="center"/>
    </xf>
    <xf numFmtId="0" fontId="0" fillId="0" borderId="0" xfId="0" applyAlignment="1">
      <alignment horizontal="left"/>
    </xf>
    <xf numFmtId="42" fontId="3" fillId="0" borderId="0" xfId="0" applyNumberFormat="1" applyFont="1" applyAlignment="1">
      <alignment vertical="center" wrapText="1"/>
    </xf>
    <xf numFmtId="0" fontId="3" fillId="5" borderId="49" xfId="0" applyFont="1" applyFill="1" applyBorder="1" applyAlignment="1">
      <alignment horizontal="right" vertical="center" wrapText="1"/>
    </xf>
    <xf numFmtId="0" fontId="0" fillId="5" borderId="22" xfId="0" applyFill="1" applyBorder="1" applyAlignment="1">
      <alignment horizontal="left" vertical="center" wrapText="1"/>
    </xf>
    <xf numFmtId="0" fontId="1" fillId="0" borderId="22" xfId="0" applyFont="1" applyBorder="1" applyAlignment="1">
      <alignment wrapText="1"/>
    </xf>
    <xf numFmtId="0" fontId="8" fillId="4" borderId="50" xfId="0" applyFont="1" applyFill="1" applyBorder="1"/>
    <xf numFmtId="0" fontId="3" fillId="5" borderId="1" xfId="0" applyFont="1" applyFill="1" applyBorder="1" applyAlignment="1">
      <alignment horizontal="left" vertical="center" wrapText="1"/>
    </xf>
    <xf numFmtId="0" fontId="0" fillId="5" borderId="21" xfId="0" applyFill="1" applyBorder="1"/>
    <xf numFmtId="0" fontId="0" fillId="5" borderId="1" xfId="0" applyFill="1" applyBorder="1"/>
    <xf numFmtId="0" fontId="0" fillId="5" borderId="22" xfId="0" applyFill="1" applyBorder="1"/>
    <xf numFmtId="0" fontId="8" fillId="5" borderId="1" xfId="0" applyFont="1" applyFill="1" applyBorder="1"/>
    <xf numFmtId="0" fontId="8" fillId="5" borderId="22" xfId="0" applyFont="1" applyFill="1" applyBorder="1"/>
    <xf numFmtId="0" fontId="3" fillId="4" borderId="23" xfId="19" applyFont="1" applyFill="1" applyBorder="1" applyAlignment="1">
      <alignment wrapText="1"/>
    </xf>
    <xf numFmtId="0" fontId="1" fillId="4" borderId="23" xfId="0" applyFont="1" applyFill="1" applyBorder="1" applyAlignment="1">
      <alignment horizontal="left" vertical="center" wrapText="1"/>
    </xf>
    <xf numFmtId="0" fontId="1" fillId="0" borderId="1" xfId="0" quotePrefix="1" applyFont="1" applyBorder="1" applyAlignment="1">
      <alignment wrapText="1"/>
    </xf>
    <xf numFmtId="1" fontId="1" fillId="0" borderId="1" xfId="0" quotePrefix="1" applyNumberFormat="1" applyFont="1" applyBorder="1" applyAlignment="1">
      <alignment wrapText="1"/>
    </xf>
    <xf numFmtId="0" fontId="11" fillId="0" borderId="18" xfId="0" applyFont="1" applyBorder="1" applyAlignment="1">
      <alignment horizontal="left" vertical="center"/>
    </xf>
    <xf numFmtId="165" fontId="8" fillId="0" borderId="0" xfId="3" applyNumberFormat="1" applyFont="1" applyFill="1" applyBorder="1" applyProtection="1"/>
    <xf numFmtId="165" fontId="8" fillId="0" borderId="1" xfId="3" applyNumberFormat="1" applyFont="1" applyFill="1" applyBorder="1" applyProtection="1"/>
    <xf numFmtId="42" fontId="1" fillId="0" borderId="0" xfId="0" applyNumberFormat="1" applyFont="1" applyAlignment="1">
      <alignment vertical="center"/>
    </xf>
    <xf numFmtId="42" fontId="3" fillId="17" borderId="92" xfId="0" applyNumberFormat="1" applyFont="1" applyFill="1" applyBorder="1" applyAlignment="1">
      <alignment vertical="center"/>
    </xf>
    <xf numFmtId="173" fontId="8" fillId="0" borderId="0" xfId="0" applyNumberFormat="1" applyFont="1" applyAlignment="1">
      <alignment horizontal="right" vertical="center"/>
    </xf>
    <xf numFmtId="42" fontId="8" fillId="0" borderId="0" xfId="0" applyNumberFormat="1" applyFont="1" applyAlignment="1">
      <alignment horizontal="center" vertical="center"/>
    </xf>
    <xf numFmtId="173" fontId="8" fillId="17" borderId="49" xfId="0" applyNumberFormat="1" applyFont="1" applyFill="1" applyBorder="1" applyAlignment="1">
      <alignment horizontal="right" vertical="center"/>
    </xf>
    <xf numFmtId="42" fontId="8" fillId="17" borderId="44" xfId="0" applyNumberFormat="1" applyFont="1" applyFill="1" applyBorder="1" applyAlignment="1">
      <alignment horizontal="right" vertical="center"/>
    </xf>
    <xf numFmtId="42" fontId="8" fillId="17" borderId="50" xfId="0" applyNumberFormat="1" applyFont="1" applyFill="1" applyBorder="1" applyAlignment="1">
      <alignment vertical="center"/>
    </xf>
    <xf numFmtId="173" fontId="0" fillId="3" borderId="23" xfId="0" applyNumberFormat="1" applyFill="1" applyBorder="1" applyAlignment="1">
      <alignment vertical="center"/>
    </xf>
    <xf numFmtId="44" fontId="3" fillId="0" borderId="0" xfId="0" applyNumberFormat="1" applyFont="1" applyAlignment="1">
      <alignment vertical="center"/>
    </xf>
    <xf numFmtId="42" fontId="0" fillId="0" borderId="39" xfId="0" applyNumberFormat="1" applyBorder="1" applyAlignment="1">
      <alignment vertical="center"/>
    </xf>
    <xf numFmtId="42" fontId="3" fillId="0" borderId="39" xfId="0" applyNumberFormat="1" applyFont="1" applyBorder="1" applyAlignment="1">
      <alignment vertical="center"/>
    </xf>
    <xf numFmtId="171" fontId="0" fillId="0" borderId="0" xfId="0" applyNumberFormat="1" applyAlignment="1">
      <alignment horizontal="right" vertical="center"/>
    </xf>
    <xf numFmtId="0" fontId="3" fillId="0" borderId="0" xfId="0" applyFont="1" applyAlignment="1">
      <alignment horizontal="right" vertical="center"/>
    </xf>
    <xf numFmtId="1" fontId="3" fillId="0" borderId="0" xfId="0" applyNumberFormat="1" applyFont="1" applyAlignment="1">
      <alignment vertical="center"/>
    </xf>
    <xf numFmtId="1" fontId="10" fillId="0" borderId="0" xfId="0" applyNumberFormat="1" applyFont="1" applyAlignment="1">
      <alignment vertical="center"/>
    </xf>
    <xf numFmtId="171" fontId="3" fillId="0" borderId="0" xfId="0" applyNumberFormat="1" applyFont="1" applyAlignment="1">
      <alignment horizontal="right" vertical="center"/>
    </xf>
    <xf numFmtId="171" fontId="10" fillId="0" borderId="0" xfId="0" applyNumberFormat="1" applyFont="1" applyAlignment="1">
      <alignment vertical="center"/>
    </xf>
    <xf numFmtId="171" fontId="3" fillId="0" borderId="0" xfId="0" applyNumberFormat="1" applyFont="1" applyAlignment="1">
      <alignment vertical="center"/>
    </xf>
    <xf numFmtId="0" fontId="3" fillId="21" borderId="23" xfId="0" applyFont="1" applyFill="1" applyBorder="1" applyAlignment="1">
      <alignment vertical="center"/>
    </xf>
    <xf numFmtId="0" fontId="3" fillId="2" borderId="95" xfId="0" applyFont="1" applyFill="1" applyBorder="1" applyAlignment="1">
      <alignment horizontal="center" vertical="center" wrapText="1"/>
    </xf>
    <xf numFmtId="171" fontId="3" fillId="5" borderId="95" xfId="0" applyNumberFormat="1" applyFont="1" applyFill="1" applyBorder="1" applyAlignment="1">
      <alignment horizontal="right" vertical="center"/>
    </xf>
    <xf numFmtId="171" fontId="0" fillId="0" borderId="94" xfId="0" applyNumberFormat="1" applyBorder="1" applyAlignment="1">
      <alignment vertical="center"/>
    </xf>
    <xf numFmtId="171" fontId="0" fillId="0" borderId="96" xfId="0" applyNumberFormat="1" applyBorder="1" applyAlignment="1">
      <alignment vertical="center"/>
    </xf>
    <xf numFmtId="171" fontId="10" fillId="4" borderId="95" xfId="0" applyNumberFormat="1" applyFont="1" applyFill="1" applyBorder="1" applyAlignment="1">
      <alignment vertical="center"/>
    </xf>
    <xf numFmtId="171" fontId="0" fillId="0" borderId="93" xfId="0" applyNumberFormat="1" applyBorder="1" applyAlignment="1">
      <alignment vertical="center"/>
    </xf>
    <xf numFmtId="0" fontId="0" fillId="10" borderId="34" xfId="0" applyFill="1" applyBorder="1" applyAlignment="1">
      <alignment vertical="center" wrapText="1"/>
    </xf>
    <xf numFmtId="0" fontId="0" fillId="10" borderId="23" xfId="0" applyFill="1" applyBorder="1" applyAlignment="1">
      <alignment vertical="center" wrapText="1"/>
    </xf>
    <xf numFmtId="44" fontId="3" fillId="0" borderId="0" xfId="0" applyNumberFormat="1" applyFont="1"/>
    <xf numFmtId="42" fontId="8" fillId="0" borderId="0" xfId="0" applyNumberFormat="1" applyFont="1"/>
    <xf numFmtId="42" fontId="8" fillId="0" borderId="0" xfId="0" applyNumberFormat="1" applyFont="1" applyAlignment="1">
      <alignment wrapText="1"/>
    </xf>
    <xf numFmtId="0" fontId="8" fillId="10" borderId="38" xfId="0" applyFont="1" applyFill="1" applyBorder="1"/>
    <xf numFmtId="0" fontId="0" fillId="10" borderId="0" xfId="0" applyFill="1"/>
    <xf numFmtId="0" fontId="0" fillId="10" borderId="39" xfId="0" applyFill="1" applyBorder="1" applyAlignment="1">
      <alignment vertical="center" wrapText="1"/>
    </xf>
    <xf numFmtId="0" fontId="8" fillId="10" borderId="49" xfId="0" applyFont="1" applyFill="1" applyBorder="1"/>
    <xf numFmtId="0" fontId="0" fillId="10" borderId="44" xfId="0" applyFill="1" applyBorder="1"/>
    <xf numFmtId="0" fontId="0" fillId="10" borderId="50" xfId="0" applyFill="1" applyBorder="1" applyAlignment="1">
      <alignment vertical="center" wrapText="1"/>
    </xf>
    <xf numFmtId="0" fontId="0" fillId="10" borderId="46" xfId="0" applyFill="1" applyBorder="1"/>
    <xf numFmtId="0" fontId="1" fillId="17" borderId="23" xfId="0" applyFont="1" applyFill="1" applyBorder="1" applyAlignment="1">
      <alignment horizontal="left" vertical="center"/>
    </xf>
    <xf numFmtId="0" fontId="3" fillId="2" borderId="5" xfId="0" applyFont="1" applyFill="1" applyBorder="1" applyAlignment="1">
      <alignment horizontal="center" vertical="center" wrapText="1"/>
    </xf>
    <xf numFmtId="171" fontId="0" fillId="0" borderId="47" xfId="0" applyNumberFormat="1" applyBorder="1" applyAlignment="1">
      <alignment horizontal="right" vertical="center"/>
    </xf>
    <xf numFmtId="171" fontId="0" fillId="0" borderId="48" xfId="0" applyNumberFormat="1" applyBorder="1" applyAlignment="1">
      <alignment horizontal="right" vertical="center"/>
    </xf>
    <xf numFmtId="171" fontId="0" fillId="0" borderId="32" xfId="0" applyNumberFormat="1" applyBorder="1" applyAlignment="1">
      <alignment horizontal="right" vertical="center"/>
    </xf>
    <xf numFmtId="171" fontId="3" fillId="5" borderId="5" xfId="0" applyNumberFormat="1" applyFont="1" applyFill="1" applyBorder="1" applyAlignment="1">
      <alignment horizontal="right" vertical="center"/>
    </xf>
    <xf numFmtId="0" fontId="1" fillId="0" borderId="23" xfId="13" applyNumberFormat="1" applyFont="1" applyFill="1" applyBorder="1" applyAlignment="1" applyProtection="1">
      <alignment horizontal="left" vertical="center"/>
    </xf>
    <xf numFmtId="0" fontId="1" fillId="0" borderId="23" xfId="27" applyNumberFormat="1" applyFont="1" applyFill="1" applyBorder="1" applyAlignment="1">
      <alignment horizontal="left" vertical="center"/>
    </xf>
    <xf numFmtId="44" fontId="0" fillId="0" borderId="33" xfId="0" applyNumberFormat="1" applyBorder="1" applyAlignment="1">
      <alignment horizontal="right" vertical="center"/>
    </xf>
    <xf numFmtId="0" fontId="13" fillId="20" borderId="6" xfId="0" applyFont="1" applyFill="1" applyBorder="1" applyAlignment="1">
      <alignment horizontal="left" vertical="center" wrapText="1"/>
    </xf>
    <xf numFmtId="44" fontId="1" fillId="17" borderId="23" xfId="0" applyNumberFormat="1" applyFont="1" applyFill="1" applyBorder="1" applyAlignment="1">
      <alignment horizontal="center" vertical="center" wrapText="1"/>
    </xf>
    <xf numFmtId="41" fontId="9" fillId="10" borderId="0" xfId="3" applyNumberFormat="1" applyFont="1" applyFill="1" applyBorder="1" applyProtection="1"/>
    <xf numFmtId="41" fontId="9" fillId="10" borderId="44" xfId="3" applyNumberFormat="1" applyFont="1" applyFill="1" applyBorder="1" applyProtection="1"/>
    <xf numFmtId="165" fontId="9" fillId="10" borderId="0" xfId="3" applyNumberFormat="1" applyFont="1" applyFill="1" applyBorder="1" applyProtection="1"/>
    <xf numFmtId="165" fontId="8" fillId="10" borderId="0" xfId="3" applyNumberFormat="1" applyFont="1" applyFill="1" applyBorder="1" applyProtection="1"/>
    <xf numFmtId="41" fontId="9" fillId="10" borderId="1" xfId="3" applyNumberFormat="1" applyFont="1" applyFill="1" applyBorder="1" applyProtection="1"/>
    <xf numFmtId="41" fontId="9" fillId="10" borderId="22" xfId="3" applyNumberFormat="1" applyFont="1" applyFill="1" applyBorder="1" applyProtection="1"/>
    <xf numFmtId="165" fontId="9" fillId="10" borderId="1" xfId="3" applyNumberFormat="1" applyFont="1" applyFill="1" applyBorder="1" applyProtection="1"/>
    <xf numFmtId="165" fontId="1" fillId="6" borderId="41" xfId="3" applyNumberFormat="1" applyFont="1" applyFill="1" applyBorder="1" applyProtection="1"/>
    <xf numFmtId="165" fontId="1" fillId="6" borderId="42" xfId="3" applyNumberFormat="1" applyFont="1" applyFill="1" applyBorder="1" applyProtection="1"/>
    <xf numFmtId="165" fontId="1" fillId="7" borderId="41" xfId="3" applyNumberFormat="1" applyFont="1" applyFill="1" applyBorder="1" applyProtection="1"/>
    <xf numFmtId="165" fontId="1" fillId="7" borderId="1" xfId="3" applyNumberFormat="1" applyFont="1" applyFill="1" applyBorder="1" applyProtection="1"/>
    <xf numFmtId="165" fontId="1" fillId="7" borderId="42" xfId="3" applyNumberFormat="1" applyFont="1" applyFill="1" applyBorder="1" applyProtection="1"/>
    <xf numFmtId="41" fontId="33" fillId="16" borderId="43" xfId="3" applyNumberFormat="1" applyFont="1" applyFill="1" applyBorder="1" applyProtection="1"/>
    <xf numFmtId="41" fontId="9" fillId="10" borderId="39" xfId="3" applyNumberFormat="1" applyFont="1" applyFill="1" applyBorder="1" applyProtection="1"/>
    <xf numFmtId="165" fontId="1" fillId="6" borderId="97" xfId="3" applyNumberFormat="1" applyFont="1" applyFill="1" applyBorder="1" applyProtection="1"/>
    <xf numFmtId="165" fontId="1" fillId="6" borderId="57" xfId="3" applyNumberFormat="1" applyFont="1" applyFill="1" applyBorder="1" applyProtection="1"/>
    <xf numFmtId="165" fontId="1" fillId="7" borderId="97" xfId="3" applyNumberFormat="1" applyFont="1" applyFill="1" applyBorder="1" applyProtection="1"/>
    <xf numFmtId="165" fontId="1" fillId="7" borderId="39" xfId="3" applyNumberFormat="1" applyFont="1" applyFill="1" applyBorder="1" applyProtection="1"/>
    <xf numFmtId="165" fontId="1" fillId="7" borderId="57" xfId="3" applyNumberFormat="1" applyFont="1" applyFill="1" applyBorder="1" applyProtection="1"/>
    <xf numFmtId="41" fontId="33" fillId="16" borderId="56" xfId="3" applyNumberFormat="1" applyFont="1" applyFill="1" applyBorder="1" applyProtection="1"/>
    <xf numFmtId="41" fontId="9" fillId="0" borderId="39" xfId="3" applyNumberFormat="1" applyFont="1" applyFill="1" applyBorder="1" applyProtection="1"/>
    <xf numFmtId="165" fontId="9" fillId="0" borderId="39" xfId="3" applyNumberFormat="1" applyFont="1" applyFill="1" applyBorder="1" applyProtection="1"/>
    <xf numFmtId="41" fontId="9" fillId="10" borderId="50" xfId="3" applyNumberFormat="1" applyFont="1" applyFill="1" applyBorder="1" applyProtection="1"/>
    <xf numFmtId="165" fontId="9" fillId="10" borderId="39" xfId="3" applyNumberFormat="1" applyFont="1" applyFill="1" applyBorder="1" applyProtection="1"/>
    <xf numFmtId="165" fontId="0" fillId="0" borderId="39" xfId="3" applyNumberFormat="1" applyFont="1" applyBorder="1" applyProtection="1"/>
    <xf numFmtId="165" fontId="9" fillId="4" borderId="39" xfId="3" applyNumberFormat="1" applyFont="1" applyFill="1" applyBorder="1" applyProtection="1"/>
    <xf numFmtId="165" fontId="8" fillId="0" borderId="39" xfId="3" applyNumberFormat="1" applyFont="1" applyFill="1" applyBorder="1" applyProtection="1"/>
    <xf numFmtId="165" fontId="0" fillId="0" borderId="39" xfId="3" applyNumberFormat="1" applyFont="1" applyFill="1" applyBorder="1" applyProtection="1"/>
    <xf numFmtId="165" fontId="9" fillId="10" borderId="97" xfId="3" applyNumberFormat="1" applyFont="1" applyFill="1" applyBorder="1" applyProtection="1"/>
    <xf numFmtId="165" fontId="9" fillId="10" borderId="57" xfId="3" applyNumberFormat="1" applyFont="1" applyFill="1" applyBorder="1" applyProtection="1"/>
    <xf numFmtId="165" fontId="9" fillId="3" borderId="97" xfId="3" applyNumberFormat="1" applyFont="1" applyFill="1" applyBorder="1" applyProtection="1"/>
    <xf numFmtId="165" fontId="9" fillId="3" borderId="57" xfId="3" applyNumberFormat="1" applyFont="1" applyFill="1" applyBorder="1" applyProtection="1"/>
    <xf numFmtId="165" fontId="33" fillId="8" borderId="97" xfId="3" applyNumberFormat="1" applyFont="1" applyFill="1" applyBorder="1" applyProtection="1"/>
    <xf numFmtId="165" fontId="33" fillId="8" borderId="57" xfId="3" applyNumberFormat="1" applyFont="1" applyFill="1" applyBorder="1" applyProtection="1"/>
    <xf numFmtId="166" fontId="0" fillId="0" borderId="56" xfId="3" applyNumberFormat="1" applyFont="1" applyFill="1" applyBorder="1" applyProtection="1"/>
    <xf numFmtId="165" fontId="32" fillId="9" borderId="97" xfId="3" applyNumberFormat="1" applyFont="1" applyFill="1" applyBorder="1" applyProtection="1"/>
    <xf numFmtId="165" fontId="32" fillId="9" borderId="57" xfId="3" applyNumberFormat="1" applyFont="1" applyFill="1" applyBorder="1" applyProtection="1"/>
    <xf numFmtId="165" fontId="9" fillId="15" borderId="56" xfId="3" applyNumberFormat="1" applyFont="1" applyFill="1" applyBorder="1" applyProtection="1"/>
    <xf numFmtId="0" fontId="11" fillId="0" borderId="0" xfId="0" applyFont="1" applyAlignment="1">
      <alignment horizontal="left" vertical="center"/>
    </xf>
    <xf numFmtId="0" fontId="13" fillId="0" borderId="0" xfId="0" applyFont="1" applyAlignment="1">
      <alignment horizontal="left" vertical="center" wrapText="1"/>
    </xf>
    <xf numFmtId="0" fontId="1" fillId="10" borderId="40" xfId="0" applyFont="1" applyFill="1" applyBorder="1"/>
    <xf numFmtId="0" fontId="1" fillId="0" borderId="0" xfId="0" applyFont="1" applyAlignment="1">
      <alignment vertical="center"/>
    </xf>
    <xf numFmtId="0" fontId="3" fillId="0" borderId="23" xfId="0" applyFont="1" applyBorder="1" applyAlignment="1">
      <alignment vertical="center"/>
    </xf>
    <xf numFmtId="1" fontId="3" fillId="12" borderId="23" xfId="0" applyNumberFormat="1" applyFont="1" applyFill="1" applyBorder="1" applyAlignment="1">
      <alignment vertical="center"/>
    </xf>
    <xf numFmtId="0" fontId="3" fillId="0" borderId="76" xfId="0" applyFont="1" applyBorder="1" applyAlignment="1">
      <alignment vertical="center"/>
    </xf>
    <xf numFmtId="1" fontId="3" fillId="12" borderId="21" xfId="0" applyNumberFormat="1" applyFont="1" applyFill="1" applyBorder="1" applyAlignment="1">
      <alignment vertical="center"/>
    </xf>
    <xf numFmtId="168" fontId="3" fillId="0" borderId="0" xfId="0" applyNumberFormat="1" applyFont="1" applyAlignment="1">
      <alignment vertical="center"/>
    </xf>
    <xf numFmtId="169" fontId="3" fillId="0" borderId="76" xfId="0" applyNumberFormat="1" applyFont="1" applyBorder="1" applyAlignment="1">
      <alignment vertical="center"/>
    </xf>
    <xf numFmtId="0" fontId="3" fillId="22" borderId="23" xfId="0" applyFont="1" applyFill="1" applyBorder="1" applyAlignment="1">
      <alignment horizontal="left" vertical="center"/>
    </xf>
    <xf numFmtId="2" fontId="3" fillId="4" borderId="23" xfId="0" applyNumberFormat="1" applyFont="1" applyFill="1" applyBorder="1" applyAlignment="1">
      <alignment horizontal="right" vertical="center"/>
    </xf>
    <xf numFmtId="0" fontId="21" fillId="25" borderId="23" xfId="0" applyFont="1" applyFill="1" applyBorder="1" applyAlignment="1">
      <alignment horizontal="left" vertical="center"/>
    </xf>
    <xf numFmtId="0" fontId="21" fillId="0" borderId="0" xfId="0" applyFont="1" applyAlignment="1">
      <alignment horizontal="left" vertical="center"/>
    </xf>
    <xf numFmtId="0" fontId="1" fillId="10" borderId="23" xfId="0" applyFont="1" applyFill="1" applyBorder="1" applyAlignment="1">
      <alignment horizontal="left" vertical="center"/>
    </xf>
    <xf numFmtId="0" fontId="0" fillId="10" borderId="23" xfId="0" applyFill="1" applyBorder="1" applyAlignment="1">
      <alignment vertical="center"/>
    </xf>
    <xf numFmtId="0" fontId="1" fillId="4" borderId="34" xfId="0" applyFont="1" applyFill="1" applyBorder="1" applyAlignment="1">
      <alignment vertical="center"/>
    </xf>
    <xf numFmtId="0" fontId="1" fillId="4" borderId="39" xfId="0" applyFont="1" applyFill="1" applyBorder="1" applyAlignment="1">
      <alignment vertical="center"/>
    </xf>
    <xf numFmtId="0" fontId="21" fillId="25" borderId="23" xfId="0" applyFont="1" applyFill="1" applyBorder="1" applyAlignment="1">
      <alignment vertical="center"/>
    </xf>
    <xf numFmtId="0" fontId="3" fillId="22" borderId="23" xfId="0" applyFont="1" applyFill="1" applyBorder="1" applyAlignment="1">
      <alignment horizontal="right" vertical="center" wrapText="1"/>
    </xf>
    <xf numFmtId="0" fontId="10" fillId="0" borderId="38" xfId="0" applyFont="1" applyBorder="1" applyAlignment="1">
      <alignment horizontal="center" vertical="center" wrapText="1"/>
    </xf>
    <xf numFmtId="0" fontId="0" fillId="0" borderId="44" xfId="0" applyBorder="1" applyAlignment="1">
      <alignment vertical="center" wrapText="1"/>
    </xf>
    <xf numFmtId="0" fontId="8" fillId="0" borderId="0" xfId="0" applyFont="1" applyAlignment="1">
      <alignment horizontal="center" vertical="center"/>
    </xf>
    <xf numFmtId="0" fontId="3" fillId="0" borderId="0" xfId="0" applyFont="1" applyAlignment="1">
      <alignment horizontal="center" vertical="center"/>
    </xf>
    <xf numFmtId="0" fontId="3" fillId="22" borderId="45" xfId="0" applyFont="1" applyFill="1" applyBorder="1" applyAlignment="1">
      <alignment vertical="center"/>
    </xf>
    <xf numFmtId="0" fontId="3" fillId="22" borderId="23" xfId="0" applyFont="1" applyFill="1" applyBorder="1" applyAlignment="1">
      <alignment horizontal="right" vertical="center"/>
    </xf>
    <xf numFmtId="0" fontId="3" fillId="22" borderId="23" xfId="0" applyFont="1" applyFill="1" applyBorder="1" applyAlignment="1">
      <alignment horizontal="center" vertical="center"/>
    </xf>
    <xf numFmtId="0" fontId="3" fillId="0" borderId="38" xfId="0" applyFont="1" applyBorder="1" applyAlignment="1">
      <alignment horizontal="center" vertical="center" wrapText="1"/>
    </xf>
    <xf numFmtId="0" fontId="1" fillId="4" borderId="23" xfId="0" applyFont="1" applyFill="1" applyBorder="1" applyAlignment="1">
      <alignment vertical="center"/>
    </xf>
    <xf numFmtId="0" fontId="3" fillId="4" borderId="67" xfId="0" applyFont="1" applyFill="1" applyBorder="1" applyAlignment="1">
      <alignment vertical="center"/>
    </xf>
    <xf numFmtId="2" fontId="34" fillId="23" borderId="67" xfId="0" applyNumberFormat="1" applyFont="1" applyFill="1" applyBorder="1" applyAlignment="1">
      <alignment vertical="center"/>
    </xf>
    <xf numFmtId="0" fontId="34" fillId="0" borderId="0" xfId="0" applyFont="1" applyAlignment="1">
      <alignment vertical="center"/>
    </xf>
    <xf numFmtId="0" fontId="1" fillId="4" borderId="23" xfId="0" applyFont="1" applyFill="1" applyBorder="1" applyAlignment="1">
      <alignment horizontal="right" vertical="center"/>
    </xf>
    <xf numFmtId="0" fontId="8" fillId="4" borderId="23" xfId="0" applyFont="1" applyFill="1" applyBorder="1" applyAlignment="1">
      <alignment horizontal="right" vertical="center"/>
    </xf>
    <xf numFmtId="0" fontId="0" fillId="22" borderId="23" xfId="0" applyFill="1" applyBorder="1" applyAlignment="1">
      <alignment vertical="center"/>
    </xf>
    <xf numFmtId="0" fontId="8" fillId="17" borderId="23" xfId="0" applyFont="1" applyFill="1" applyBorder="1" applyAlignment="1">
      <alignment horizontal="right" vertical="center"/>
    </xf>
    <xf numFmtId="42" fontId="8" fillId="0" borderId="23" xfId="0" applyNumberFormat="1" applyFont="1" applyBorder="1" applyAlignment="1">
      <alignment horizontal="right" vertical="center"/>
    </xf>
    <xf numFmtId="164" fontId="8" fillId="4" borderId="23" xfId="0" applyNumberFormat="1" applyFont="1" applyFill="1" applyBorder="1" applyAlignment="1">
      <alignment horizontal="right" vertical="center"/>
    </xf>
    <xf numFmtId="42" fontId="8" fillId="0" borderId="44" xfId="0" applyNumberFormat="1" applyFont="1" applyBorder="1" applyAlignment="1">
      <alignment vertical="center" wrapText="1"/>
    </xf>
    <xf numFmtId="2" fontId="8" fillId="0" borderId="0" xfId="0" applyNumberFormat="1" applyFont="1" applyAlignment="1">
      <alignment horizontal="left" vertical="center"/>
    </xf>
    <xf numFmtId="2" fontId="3" fillId="0" borderId="0" xfId="0" applyNumberFormat="1" applyFont="1" applyAlignment="1">
      <alignment horizontal="center" vertical="center"/>
    </xf>
    <xf numFmtId="0" fontId="0" fillId="4" borderId="49" xfId="0" applyFill="1" applyBorder="1" applyAlignment="1">
      <alignment vertical="center" wrapText="1"/>
    </xf>
    <xf numFmtId="0" fontId="3" fillId="4" borderId="64" xfId="0" applyFont="1" applyFill="1" applyBorder="1" applyAlignment="1">
      <alignment vertical="center"/>
    </xf>
    <xf numFmtId="2" fontId="34" fillId="0" borderId="65" xfId="0" applyNumberFormat="1" applyFont="1" applyBorder="1" applyAlignment="1">
      <alignment horizontal="right" vertical="center"/>
    </xf>
    <xf numFmtId="2" fontId="1" fillId="10" borderId="23" xfId="0" applyNumberFormat="1" applyFont="1" applyFill="1" applyBorder="1" applyAlignment="1">
      <alignment horizontal="left" vertical="center"/>
    </xf>
    <xf numFmtId="2" fontId="0" fillId="0" borderId="0" xfId="0" applyNumberFormat="1" applyAlignment="1">
      <alignment horizontal="center" vertical="center"/>
    </xf>
    <xf numFmtId="0" fontId="0" fillId="4" borderId="40" xfId="0" applyFill="1" applyBorder="1" applyAlignment="1">
      <alignment vertical="center" wrapText="1"/>
    </xf>
    <xf numFmtId="0" fontId="0" fillId="4" borderId="45" xfId="0" applyFill="1" applyBorder="1" applyAlignment="1">
      <alignment vertical="center" wrapText="1"/>
    </xf>
    <xf numFmtId="0" fontId="3" fillId="4" borderId="66" xfId="0" applyFont="1" applyFill="1" applyBorder="1" applyAlignment="1">
      <alignment vertical="center"/>
    </xf>
    <xf numFmtId="0" fontId="3" fillId="0" borderId="1" xfId="0" applyFont="1" applyBorder="1" applyAlignment="1">
      <alignment vertical="center"/>
    </xf>
    <xf numFmtId="0" fontId="25" fillId="13" borderId="45" xfId="0" applyFont="1" applyFill="1" applyBorder="1" applyAlignment="1">
      <alignment vertical="center" wrapText="1"/>
    </xf>
    <xf numFmtId="1" fontId="3" fillId="13" borderId="23" xfId="0" applyNumberFormat="1" applyFont="1" applyFill="1" applyBorder="1" applyAlignment="1">
      <alignment horizontal="right" vertical="center" wrapText="1"/>
    </xf>
    <xf numFmtId="1" fontId="3" fillId="0" borderId="0" xfId="0" applyNumberFormat="1" applyFont="1" applyAlignment="1">
      <alignment vertical="center" wrapText="1"/>
    </xf>
    <xf numFmtId="0" fontId="3" fillId="22" borderId="23" xfId="0" applyFont="1" applyFill="1" applyBorder="1" applyAlignment="1">
      <alignment vertical="center"/>
    </xf>
    <xf numFmtId="1" fontId="8" fillId="0" borderId="39" xfId="0" applyNumberFormat="1" applyFont="1" applyBorder="1" applyAlignment="1">
      <alignment vertical="center"/>
    </xf>
    <xf numFmtId="0" fontId="3" fillId="0" borderId="34" xfId="0" applyFont="1" applyBorder="1" applyAlignment="1">
      <alignment horizontal="right" vertical="center"/>
    </xf>
    <xf numFmtId="1" fontId="0" fillId="5" borderId="23" xfId="0" applyNumberFormat="1" applyFill="1" applyBorder="1" applyAlignment="1">
      <alignment horizontal="right" vertical="center"/>
    </xf>
    <xf numFmtId="1" fontId="0" fillId="5" borderId="23" xfId="0" applyNumberFormat="1" applyFill="1" applyBorder="1" applyAlignment="1">
      <alignment vertical="center"/>
    </xf>
    <xf numFmtId="0" fontId="1" fillId="4" borderId="21" xfId="0" applyFont="1" applyFill="1" applyBorder="1" applyAlignment="1">
      <alignment vertical="center"/>
    </xf>
    <xf numFmtId="0" fontId="34" fillId="12" borderId="23" xfId="0" applyFont="1" applyFill="1" applyBorder="1" applyAlignment="1">
      <alignment vertical="center"/>
    </xf>
    <xf numFmtId="6" fontId="1" fillId="10" borderId="45" xfId="0" applyNumberFormat="1" applyFont="1" applyFill="1" applyBorder="1" applyAlignment="1">
      <alignment vertical="center"/>
    </xf>
    <xf numFmtId="0" fontId="0" fillId="10" borderId="59" xfId="0" applyFill="1" applyBorder="1" applyAlignment="1">
      <alignment vertical="center" wrapText="1"/>
    </xf>
    <xf numFmtId="0" fontId="0" fillId="10" borderId="33" xfId="0" applyFill="1" applyBorder="1" applyAlignment="1">
      <alignment vertical="center" wrapText="1"/>
    </xf>
    <xf numFmtId="0" fontId="1" fillId="0" borderId="0" xfId="0" applyFont="1" applyAlignment="1">
      <alignment horizontal="right" vertical="center"/>
    </xf>
    <xf numFmtId="6" fontId="1" fillId="0" borderId="0" xfId="0" applyNumberFormat="1" applyFont="1" applyAlignment="1">
      <alignment vertical="center"/>
    </xf>
    <xf numFmtId="0" fontId="3" fillId="0" borderId="0" xfId="0" applyFont="1" applyAlignment="1">
      <alignment horizontal="left" vertical="center" wrapText="1"/>
    </xf>
    <xf numFmtId="42" fontId="3" fillId="0" borderId="0" xfId="0" applyNumberFormat="1" applyFont="1" applyAlignment="1">
      <alignment horizontal="left" vertical="center"/>
    </xf>
    <xf numFmtId="14" fontId="3" fillId="0" borderId="0" xfId="0" applyNumberFormat="1" applyFont="1" applyAlignment="1">
      <alignment horizontal="left" vertical="center"/>
    </xf>
    <xf numFmtId="14" fontId="3" fillId="0" borderId="0" xfId="0" applyNumberFormat="1" applyFont="1" applyAlignment="1">
      <alignment horizontal="left" vertical="center" wrapText="1"/>
    </xf>
    <xf numFmtId="1" fontId="1" fillId="10" borderId="23" xfId="0" applyNumberFormat="1" applyFont="1" applyFill="1" applyBorder="1" applyAlignment="1">
      <alignment horizontal="left" vertical="center"/>
    </xf>
    <xf numFmtId="1" fontId="3" fillId="0" borderId="0" xfId="0" applyNumberFormat="1" applyFont="1" applyAlignment="1">
      <alignment horizontal="left" vertical="center" wrapText="1"/>
    </xf>
    <xf numFmtId="2" fontId="8" fillId="4" borderId="23" xfId="0" applyNumberFormat="1" applyFont="1" applyFill="1" applyBorder="1" applyAlignment="1">
      <alignment horizontal="right" vertical="center"/>
    </xf>
    <xf numFmtId="0" fontId="32" fillId="0" borderId="0" xfId="0" applyFont="1" applyAlignment="1">
      <alignment vertical="center"/>
    </xf>
    <xf numFmtId="0" fontId="3" fillId="0" borderId="0" xfId="0" applyFont="1" applyAlignment="1">
      <alignment vertical="center" wrapText="1"/>
    </xf>
    <xf numFmtId="0" fontId="40" fillId="20" borderId="23" xfId="0" applyFont="1" applyFill="1" applyBorder="1"/>
    <xf numFmtId="0" fontId="36" fillId="0" borderId="0" xfId="0" applyFont="1"/>
    <xf numFmtId="0" fontId="21" fillId="25" borderId="23" xfId="0" applyFont="1" applyFill="1" applyBorder="1"/>
    <xf numFmtId="0" fontId="4" fillId="4" borderId="18" xfId="0" applyFont="1" applyFill="1" applyBorder="1"/>
    <xf numFmtId="0" fontId="0" fillId="4" borderId="19" xfId="0" applyFill="1" applyBorder="1"/>
    <xf numFmtId="42" fontId="0" fillId="4" borderId="19" xfId="0" applyNumberFormat="1" applyFill="1" applyBorder="1"/>
    <xf numFmtId="1" fontId="0" fillId="4" borderId="19" xfId="0" applyNumberFormat="1" applyFill="1" applyBorder="1"/>
    <xf numFmtId="0" fontId="0" fillId="4" borderId="43" xfId="0" applyFill="1" applyBorder="1"/>
    <xf numFmtId="0" fontId="0" fillId="4" borderId="56" xfId="0" applyFill="1" applyBorder="1"/>
    <xf numFmtId="0" fontId="4" fillId="4" borderId="18" xfId="0" applyFont="1" applyFill="1" applyBorder="1" applyAlignment="1">
      <alignment vertical="center"/>
    </xf>
    <xf numFmtId="0" fontId="4" fillId="4" borderId="19" xfId="0" applyFont="1" applyFill="1" applyBorder="1" applyAlignment="1">
      <alignment vertical="center"/>
    </xf>
    <xf numFmtId="42" fontId="8" fillId="4" borderId="19" xfId="0" applyNumberFormat="1" applyFont="1" applyFill="1" applyBorder="1" applyAlignment="1">
      <alignment vertical="center"/>
    </xf>
    <xf numFmtId="0" fontId="0" fillId="4" borderId="19" xfId="0" applyFill="1" applyBorder="1" applyAlignment="1">
      <alignment vertical="center"/>
    </xf>
    <xf numFmtId="0" fontId="0" fillId="4" borderId="43" xfId="0" applyFill="1" applyBorder="1" applyAlignment="1">
      <alignment vertical="center"/>
    </xf>
    <xf numFmtId="0" fontId="0" fillId="4" borderId="56" xfId="0" applyFill="1" applyBorder="1" applyAlignment="1">
      <alignment vertical="center"/>
    </xf>
    <xf numFmtId="0" fontId="4" fillId="4" borderId="20" xfId="0" applyFont="1" applyFill="1" applyBorder="1"/>
    <xf numFmtId="42" fontId="4" fillId="4" borderId="0" xfId="0" applyNumberFormat="1" applyFont="1" applyFill="1"/>
    <xf numFmtId="0" fontId="0" fillId="4" borderId="1" xfId="0" applyFill="1" applyBorder="1"/>
    <xf numFmtId="0" fontId="0" fillId="4" borderId="39" xfId="0" applyFill="1" applyBorder="1"/>
    <xf numFmtId="0" fontId="1" fillId="17" borderId="0" xfId="0" applyFont="1" applyFill="1"/>
    <xf numFmtId="42" fontId="8" fillId="4" borderId="0" xfId="0" applyNumberFormat="1" applyFont="1" applyFill="1"/>
    <xf numFmtId="41" fontId="0" fillId="10" borderId="0" xfId="0" applyNumberFormat="1" applyFill="1"/>
    <xf numFmtId="41" fontId="0" fillId="0" borderId="1" xfId="0" applyNumberFormat="1" applyBorder="1"/>
    <xf numFmtId="41" fontId="0" fillId="0" borderId="39" xfId="0" applyNumberFormat="1" applyBorder="1"/>
    <xf numFmtId="42" fontId="0" fillId="4" borderId="0" xfId="0" applyNumberFormat="1" applyFill="1"/>
    <xf numFmtId="0" fontId="0" fillId="17" borderId="0" xfId="0" applyFill="1"/>
    <xf numFmtId="0" fontId="8" fillId="17" borderId="0" xfId="0" applyFont="1" applyFill="1"/>
    <xf numFmtId="0" fontId="8" fillId="17" borderId="44" xfId="0" applyFont="1" applyFill="1" applyBorder="1"/>
    <xf numFmtId="0" fontId="5" fillId="4" borderId="59" xfId="0" applyFont="1" applyFill="1" applyBorder="1"/>
    <xf numFmtId="165" fontId="5" fillId="4" borderId="59" xfId="0" applyNumberFormat="1" applyFont="1" applyFill="1" applyBorder="1"/>
    <xf numFmtId="42" fontId="5" fillId="4" borderId="59" xfId="0" applyNumberFormat="1" applyFont="1" applyFill="1" applyBorder="1"/>
    <xf numFmtId="165" fontId="5" fillId="4" borderId="23" xfId="0" applyNumberFormat="1" applyFont="1" applyFill="1" applyBorder="1"/>
    <xf numFmtId="165" fontId="5" fillId="4" borderId="33" xfId="0" applyNumberFormat="1" applyFont="1" applyFill="1" applyBorder="1"/>
    <xf numFmtId="0" fontId="1" fillId="0" borderId="44" xfId="0" applyFont="1" applyBorder="1"/>
    <xf numFmtId="0" fontId="5" fillId="4" borderId="52" xfId="0" applyFont="1" applyFill="1" applyBorder="1"/>
    <xf numFmtId="0" fontId="5" fillId="4" borderId="70" xfId="0" applyFont="1" applyFill="1" applyBorder="1"/>
    <xf numFmtId="0" fontId="5" fillId="4" borderId="61" xfId="0" applyFont="1" applyFill="1" applyBorder="1"/>
    <xf numFmtId="42" fontId="5" fillId="4" borderId="61" xfId="0" applyNumberFormat="1" applyFont="1" applyFill="1" applyBorder="1"/>
    <xf numFmtId="165" fontId="5" fillId="4" borderId="46" xfId="0" applyNumberFormat="1" applyFont="1" applyFill="1" applyBorder="1"/>
    <xf numFmtId="165" fontId="5" fillId="4" borderId="21" xfId="0" applyNumberFormat="1" applyFont="1" applyFill="1" applyBorder="1"/>
    <xf numFmtId="165" fontId="5" fillId="4" borderId="34" xfId="0" applyNumberFormat="1" applyFont="1" applyFill="1" applyBorder="1"/>
    <xf numFmtId="0" fontId="15" fillId="4" borderId="20" xfId="0" applyFont="1" applyFill="1" applyBorder="1"/>
    <xf numFmtId="0" fontId="15" fillId="4" borderId="0" xfId="0" applyFont="1" applyFill="1"/>
    <xf numFmtId="42" fontId="10" fillId="4" borderId="0" xfId="0" applyNumberFormat="1" applyFont="1" applyFill="1"/>
    <xf numFmtId="165" fontId="10" fillId="4" borderId="2" xfId="0" applyNumberFormat="1" applyFont="1" applyFill="1" applyBorder="1"/>
    <xf numFmtId="165" fontId="10" fillId="4" borderId="60" xfId="0" applyNumberFormat="1" applyFont="1" applyFill="1" applyBorder="1"/>
    <xf numFmtId="165" fontId="10" fillId="4" borderId="98" xfId="0" applyNumberFormat="1" applyFont="1" applyFill="1" applyBorder="1"/>
    <xf numFmtId="0" fontId="0" fillId="0" borderId="20" xfId="0" applyBorder="1"/>
    <xf numFmtId="0" fontId="0" fillId="4" borderId="20" xfId="0" applyFill="1" applyBorder="1" applyAlignment="1">
      <alignment horizontal="center"/>
    </xf>
    <xf numFmtId="0" fontId="1" fillId="4" borderId="20" xfId="0" applyFont="1" applyFill="1" applyBorder="1" applyAlignment="1">
      <alignment horizontal="center"/>
    </xf>
    <xf numFmtId="41" fontId="8" fillId="10" borderId="0" xfId="0" applyNumberFormat="1" applyFont="1" applyFill="1"/>
    <xf numFmtId="41" fontId="8" fillId="10" borderId="1" xfId="0" applyNumberFormat="1" applyFont="1" applyFill="1" applyBorder="1"/>
    <xf numFmtId="41" fontId="8" fillId="10" borderId="39" xfId="0" applyNumberFormat="1" applyFont="1" applyFill="1" applyBorder="1"/>
    <xf numFmtId="0" fontId="8" fillId="4" borderId="20" xfId="0" applyFont="1" applyFill="1" applyBorder="1" applyAlignment="1">
      <alignment horizontal="center"/>
    </xf>
    <xf numFmtId="42" fontId="5" fillId="4" borderId="46" xfId="0" applyNumberFormat="1" applyFont="1" applyFill="1" applyBorder="1"/>
    <xf numFmtId="0" fontId="15" fillId="4" borderId="37" xfId="0" applyFont="1" applyFill="1" applyBorder="1"/>
    <xf numFmtId="0" fontId="15" fillId="4" borderId="4" xfId="0" applyFont="1" applyFill="1" applyBorder="1"/>
    <xf numFmtId="42" fontId="10" fillId="4" borderId="62" xfId="0" applyNumberFormat="1" applyFont="1" applyFill="1" applyBorder="1"/>
    <xf numFmtId="165" fontId="10" fillId="4" borderId="62" xfId="0" applyNumberFormat="1" applyFont="1" applyFill="1" applyBorder="1"/>
    <xf numFmtId="165" fontId="10" fillId="4" borderId="63" xfId="0" applyNumberFormat="1" applyFont="1" applyFill="1" applyBorder="1"/>
    <xf numFmtId="165" fontId="10" fillId="4" borderId="99" xfId="0" applyNumberFormat="1" applyFont="1" applyFill="1" applyBorder="1"/>
    <xf numFmtId="0" fontId="6" fillId="0" borderId="20" xfId="0" applyFont="1" applyBorder="1"/>
    <xf numFmtId="0" fontId="6" fillId="0" borderId="0" xfId="0" applyFont="1"/>
    <xf numFmtId="42" fontId="5" fillId="0" borderId="0" xfId="0" applyNumberFormat="1" applyFont="1"/>
    <xf numFmtId="0" fontId="3" fillId="0" borderId="20" xfId="0" applyFont="1" applyBorder="1"/>
    <xf numFmtId="0" fontId="14" fillId="10" borderId="14" xfId="0" applyFont="1" applyFill="1" applyBorder="1"/>
    <xf numFmtId="0" fontId="6" fillId="10" borderId="3" xfId="0" applyFont="1" applyFill="1" applyBorder="1"/>
    <xf numFmtId="42" fontId="5" fillId="10" borderId="3" xfId="0" applyNumberFormat="1" applyFont="1" applyFill="1" applyBorder="1"/>
    <xf numFmtId="0" fontId="14" fillId="10" borderId="37" xfId="0" applyFont="1" applyFill="1" applyBorder="1"/>
    <xf numFmtId="0" fontId="6" fillId="10" borderId="4" xfId="0" applyFont="1" applyFill="1" applyBorder="1"/>
    <xf numFmtId="42" fontId="5" fillId="10" borderId="4" xfId="0" applyNumberFormat="1" applyFont="1" applyFill="1" applyBorder="1"/>
    <xf numFmtId="0" fontId="14" fillId="0" borderId="20" xfId="0" applyFont="1" applyBorder="1"/>
    <xf numFmtId="0" fontId="14" fillId="3" borderId="14" xfId="0" applyFont="1" applyFill="1" applyBorder="1"/>
    <xf numFmtId="0" fontId="6" fillId="3" borderId="3" xfId="0" applyFont="1" applyFill="1" applyBorder="1"/>
    <xf numFmtId="42" fontId="5" fillId="3" borderId="3" xfId="0" applyNumberFormat="1" applyFont="1" applyFill="1" applyBorder="1"/>
    <xf numFmtId="0" fontId="14" fillId="3" borderId="37" xfId="0" applyFont="1" applyFill="1" applyBorder="1"/>
    <xf numFmtId="0" fontId="6" fillId="3" borderId="4" xfId="0" applyFont="1" applyFill="1" applyBorder="1"/>
    <xf numFmtId="42" fontId="5" fillId="3" borderId="4" xfId="0" applyNumberFormat="1" applyFont="1" applyFill="1" applyBorder="1"/>
    <xf numFmtId="0" fontId="31" fillId="8" borderId="14" xfId="0" applyFont="1" applyFill="1" applyBorder="1"/>
    <xf numFmtId="0" fontId="32" fillId="8" borderId="3" xfId="0" applyFont="1" applyFill="1" applyBorder="1"/>
    <xf numFmtId="0" fontId="31" fillId="8" borderId="37" xfId="0" applyFont="1" applyFill="1" applyBorder="1"/>
    <xf numFmtId="0" fontId="32" fillId="8" borderId="4" xfId="0" applyFont="1" applyFill="1" applyBorder="1"/>
    <xf numFmtId="0" fontId="3" fillId="0" borderId="18" xfId="0" applyFont="1" applyBorder="1"/>
    <xf numFmtId="0" fontId="6" fillId="0" borderId="19" xfId="0" applyFont="1" applyBorder="1"/>
    <xf numFmtId="42" fontId="5" fillId="0" borderId="19" xfId="0" applyNumberFormat="1" applyFont="1" applyBorder="1"/>
    <xf numFmtId="174" fontId="0" fillId="0" borderId="19" xfId="0" applyNumberFormat="1" applyBorder="1" applyAlignment="1">
      <alignment horizontal="right" vertical="center"/>
    </xf>
    <xf numFmtId="174" fontId="0" fillId="0" borderId="43" xfId="0" applyNumberFormat="1" applyBorder="1" applyAlignment="1">
      <alignment horizontal="right" vertical="center"/>
    </xf>
    <xf numFmtId="174" fontId="0" fillId="0" borderId="56" xfId="0" applyNumberFormat="1" applyBorder="1" applyAlignment="1">
      <alignment horizontal="right" vertical="center"/>
    </xf>
    <xf numFmtId="0" fontId="14" fillId="6" borderId="14" xfId="0" applyFont="1" applyFill="1" applyBorder="1"/>
    <xf numFmtId="0" fontId="6" fillId="6" borderId="3" xfId="0" applyFont="1" applyFill="1" applyBorder="1"/>
    <xf numFmtId="42" fontId="5" fillId="6" borderId="3" xfId="0" applyNumberFormat="1" applyFont="1" applyFill="1" applyBorder="1"/>
    <xf numFmtId="0" fontId="14" fillId="6" borderId="37" xfId="0" applyFont="1" applyFill="1" applyBorder="1"/>
    <xf numFmtId="0" fontId="6" fillId="6" borderId="4" xfId="0" applyFont="1" applyFill="1" applyBorder="1"/>
    <xf numFmtId="42" fontId="5" fillId="6" borderId="4" xfId="0" applyNumberFormat="1" applyFont="1" applyFill="1" applyBorder="1"/>
    <xf numFmtId="0" fontId="14" fillId="11" borderId="14" xfId="0" applyFont="1" applyFill="1" applyBorder="1"/>
    <xf numFmtId="0" fontId="6" fillId="11" borderId="3" xfId="0" applyFont="1" applyFill="1" applyBorder="1"/>
    <xf numFmtId="42" fontId="5" fillId="7" borderId="3" xfId="0" applyNumberFormat="1" applyFont="1" applyFill="1" applyBorder="1"/>
    <xf numFmtId="0" fontId="14" fillId="11" borderId="20" xfId="0" applyFont="1" applyFill="1" applyBorder="1"/>
    <xf numFmtId="0" fontId="6" fillId="11" borderId="0" xfId="0" applyFont="1" applyFill="1"/>
    <xf numFmtId="42" fontId="5" fillId="7" borderId="0" xfId="0" applyNumberFormat="1" applyFont="1" applyFill="1"/>
    <xf numFmtId="0" fontId="6" fillId="11" borderId="0" xfId="0" applyFont="1" applyFill="1" applyAlignment="1">
      <alignment wrapText="1"/>
    </xf>
    <xf numFmtId="42" fontId="5" fillId="7" borderId="4" xfId="0" applyNumberFormat="1" applyFont="1" applyFill="1" applyBorder="1"/>
    <xf numFmtId="0" fontId="14" fillId="7" borderId="14" xfId="0" applyFont="1" applyFill="1" applyBorder="1"/>
    <xf numFmtId="0" fontId="6" fillId="7" borderId="3" xfId="0" applyFont="1" applyFill="1" applyBorder="1"/>
    <xf numFmtId="0" fontId="14" fillId="7" borderId="37" xfId="0" applyFont="1" applyFill="1" applyBorder="1"/>
    <xf numFmtId="0" fontId="6" fillId="7" borderId="4" xfId="0" applyFont="1" applyFill="1" applyBorder="1"/>
    <xf numFmtId="0" fontId="32" fillId="9" borderId="14" xfId="0" applyFont="1" applyFill="1" applyBorder="1"/>
    <xf numFmtId="0" fontId="32" fillId="9" borderId="3" xfId="0" applyFont="1" applyFill="1" applyBorder="1"/>
    <xf numFmtId="0" fontId="31" fillId="9" borderId="37" xfId="0" applyFont="1" applyFill="1" applyBorder="1"/>
    <xf numFmtId="0" fontId="32" fillId="9" borderId="4" xfId="0" applyFont="1" applyFill="1" applyBorder="1"/>
    <xf numFmtId="0" fontId="0" fillId="0" borderId="39" xfId="0" applyBorder="1"/>
    <xf numFmtId="2" fontId="3" fillId="0" borderId="0" xfId="0" applyNumberFormat="1" applyFont="1"/>
    <xf numFmtId="10" fontId="0" fillId="0" borderId="0" xfId="0" applyNumberFormat="1"/>
    <xf numFmtId="0" fontId="14" fillId="15" borderId="18" xfId="0" applyFont="1" applyFill="1" applyBorder="1"/>
    <xf numFmtId="0" fontId="6" fillId="15" borderId="19" xfId="0" applyFont="1" applyFill="1" applyBorder="1"/>
    <xf numFmtId="42" fontId="5" fillId="15" borderId="19" xfId="0" applyNumberFormat="1" applyFont="1" applyFill="1" applyBorder="1"/>
    <xf numFmtId="41" fontId="31" fillId="16" borderId="18" xfId="0" applyNumberFormat="1" applyFont="1" applyFill="1" applyBorder="1"/>
    <xf numFmtId="41" fontId="32" fillId="16" borderId="19" xfId="0" applyNumberFormat="1" applyFont="1" applyFill="1" applyBorder="1"/>
    <xf numFmtId="7" fontId="0" fillId="0" borderId="0" xfId="0" applyNumberFormat="1"/>
    <xf numFmtId="1" fontId="39" fillId="10" borderId="38" xfId="22" applyNumberFormat="1" applyFont="1" applyFill="1" applyBorder="1" applyAlignment="1">
      <alignment wrapText="1"/>
    </xf>
    <xf numFmtId="1" fontId="1" fillId="10" borderId="38" xfId="0" applyNumberFormat="1" applyFont="1" applyFill="1" applyBorder="1"/>
    <xf numFmtId="1" fontId="39" fillId="10" borderId="49" xfId="22" applyNumberFormat="1" applyFont="1" applyFill="1" applyBorder="1" applyAlignment="1">
      <alignment wrapText="1"/>
    </xf>
    <xf numFmtId="1" fontId="39" fillId="10" borderId="22" xfId="22" applyNumberFormat="1" applyFont="1" applyFill="1" applyBorder="1"/>
    <xf numFmtId="0" fontId="1" fillId="10" borderId="39" xfId="0" applyFont="1" applyFill="1" applyBorder="1" applyAlignment="1">
      <alignment wrapText="1"/>
    </xf>
    <xf numFmtId="0" fontId="1" fillId="10" borderId="0" xfId="0" applyFont="1" applyFill="1"/>
    <xf numFmtId="1" fontId="39" fillId="10" borderId="38" xfId="22" applyNumberFormat="1" applyFont="1" applyFill="1" applyBorder="1"/>
    <xf numFmtId="1" fontId="39" fillId="10" borderId="40" xfId="22" applyNumberFormat="1" applyFont="1" applyFill="1" applyBorder="1" applyAlignment="1">
      <alignment wrapText="1"/>
    </xf>
    <xf numFmtId="1" fontId="1" fillId="10" borderId="40" xfId="0" applyNumberFormat="1" applyFont="1" applyFill="1" applyBorder="1"/>
    <xf numFmtId="1" fontId="1" fillId="10" borderId="40" xfId="0" applyNumberFormat="1" applyFont="1" applyFill="1" applyBorder="1" applyAlignment="1">
      <alignment wrapText="1"/>
    </xf>
    <xf numFmtId="1" fontId="1" fillId="10" borderId="38" xfId="0" applyNumberFormat="1" applyFont="1" applyFill="1" applyBorder="1" applyAlignment="1">
      <alignment wrapText="1"/>
    </xf>
    <xf numFmtId="1" fontId="1" fillId="10" borderId="22" xfId="0" applyNumberFormat="1" applyFont="1" applyFill="1" applyBorder="1"/>
    <xf numFmtId="0" fontId="0" fillId="20" borderId="21" xfId="0" applyFill="1" applyBorder="1" applyAlignment="1" applyProtection="1">
      <alignment vertical="center"/>
      <protection locked="0"/>
    </xf>
    <xf numFmtId="0" fontId="13" fillId="4" borderId="38" xfId="0" applyFont="1" applyFill="1" applyBorder="1" applyAlignment="1">
      <alignment horizontal="left"/>
    </xf>
    <xf numFmtId="0" fontId="13" fillId="4" borderId="0" xfId="0" applyFont="1" applyFill="1" applyAlignment="1">
      <alignment horizontal="left"/>
    </xf>
    <xf numFmtId="0" fontId="13" fillId="4" borderId="49" xfId="0" applyFont="1" applyFill="1" applyBorder="1" applyAlignment="1">
      <alignment horizontal="left"/>
    </xf>
    <xf numFmtId="0" fontId="13" fillId="4" borderId="44" xfId="0" applyFont="1" applyFill="1" applyBorder="1" applyAlignment="1">
      <alignment horizontal="left"/>
    </xf>
    <xf numFmtId="0" fontId="11" fillId="4" borderId="45" xfId="0" applyFont="1" applyFill="1" applyBorder="1" applyAlignment="1">
      <alignment horizontal="left"/>
    </xf>
    <xf numFmtId="0" fontId="13" fillId="4" borderId="59" xfId="0" applyFont="1" applyFill="1" applyBorder="1" applyAlignment="1">
      <alignment horizontal="left"/>
    </xf>
    <xf numFmtId="42" fontId="13" fillId="5" borderId="1" xfId="0" applyNumberFormat="1" applyFont="1" applyFill="1" applyBorder="1"/>
    <xf numFmtId="42" fontId="13" fillId="5" borderId="22" xfId="0" applyNumberFormat="1" applyFont="1" applyFill="1" applyBorder="1"/>
    <xf numFmtId="42" fontId="13" fillId="10" borderId="1" xfId="3" applyNumberFormat="1" applyFont="1" applyFill="1" applyBorder="1" applyAlignment="1" applyProtection="1"/>
    <xf numFmtId="42" fontId="13" fillId="10" borderId="22" xfId="0" applyNumberFormat="1" applyFont="1" applyFill="1" applyBorder="1" applyAlignment="1">
      <alignment horizontal="right"/>
    </xf>
    <xf numFmtId="0" fontId="11" fillId="4" borderId="23" xfId="0" applyFont="1" applyFill="1" applyBorder="1" applyAlignment="1">
      <alignment horizontal="right" vertical="top"/>
    </xf>
    <xf numFmtId="0" fontId="13" fillId="0" borderId="23" xfId="0" applyFont="1" applyBorder="1" applyAlignment="1">
      <alignment horizontal="center"/>
    </xf>
    <xf numFmtId="0" fontId="11" fillId="5" borderId="39" xfId="0" applyFont="1" applyFill="1" applyBorder="1" applyAlignment="1">
      <alignment horizontal="center"/>
    </xf>
    <xf numFmtId="9" fontId="11" fillId="5" borderId="50" xfId="0" applyNumberFormat="1" applyFont="1" applyFill="1" applyBorder="1" applyAlignment="1">
      <alignment horizontal="center"/>
    </xf>
    <xf numFmtId="9" fontId="13" fillId="18" borderId="23" xfId="0" applyNumberFormat="1" applyFont="1" applyFill="1" applyBorder="1" applyAlignment="1">
      <alignment horizontal="center"/>
    </xf>
    <xf numFmtId="0" fontId="1" fillId="0" borderId="0" xfId="0" applyFont="1" applyAlignment="1">
      <alignment horizontal="left" vertical="center" wrapText="1"/>
    </xf>
    <xf numFmtId="0" fontId="1" fillId="4" borderId="69" xfId="0" applyFont="1" applyFill="1" applyBorder="1" applyAlignment="1">
      <alignment vertical="center"/>
    </xf>
    <xf numFmtId="0" fontId="3" fillId="4" borderId="23" xfId="19" applyFont="1" applyFill="1" applyBorder="1" applyAlignment="1">
      <alignment horizontal="left" wrapText="1"/>
    </xf>
    <xf numFmtId="0" fontId="13" fillId="0" borderId="18" xfId="0" applyFont="1" applyBorder="1" applyAlignment="1">
      <alignment horizontal="left" vertical="center" wrapText="1"/>
    </xf>
    <xf numFmtId="0" fontId="13" fillId="0" borderId="47" xfId="0" applyFont="1" applyBorder="1" applyAlignment="1">
      <alignment horizontal="left" vertical="center" wrapText="1"/>
    </xf>
    <xf numFmtId="0" fontId="1" fillId="17" borderId="23" xfId="0" applyFont="1" applyFill="1" applyBorder="1" applyAlignment="1">
      <alignment vertical="center"/>
    </xf>
    <xf numFmtId="0" fontId="1" fillId="20" borderId="23" xfId="0" applyFont="1" applyFill="1" applyBorder="1" applyAlignment="1" applyProtection="1">
      <alignment vertical="center"/>
      <protection locked="0"/>
    </xf>
    <xf numFmtId="0" fontId="1" fillId="20" borderId="45" xfId="0" applyFont="1" applyFill="1" applyBorder="1" applyAlignment="1" applyProtection="1">
      <alignment vertical="center"/>
      <protection locked="0"/>
    </xf>
    <xf numFmtId="0" fontId="11" fillId="5" borderId="23" xfId="0" applyFont="1" applyFill="1" applyBorder="1" applyAlignment="1">
      <alignment horizontal="right" vertical="top"/>
    </xf>
    <xf numFmtId="0" fontId="3" fillId="10" borderId="0" xfId="0" applyFont="1" applyFill="1" applyAlignment="1">
      <alignment horizontal="left" vertical="center"/>
    </xf>
    <xf numFmtId="0" fontId="0" fillId="10" borderId="0" xfId="0" applyFill="1" applyAlignment="1">
      <alignment vertical="center"/>
    </xf>
    <xf numFmtId="0" fontId="13" fillId="26" borderId="21" xfId="0" applyFont="1" applyFill="1" applyBorder="1" applyAlignment="1">
      <alignment horizontal="center"/>
    </xf>
    <xf numFmtId="9" fontId="13" fillId="26" borderId="22" xfId="0" applyNumberFormat="1" applyFont="1" applyFill="1" applyBorder="1" applyAlignment="1">
      <alignment horizontal="center"/>
    </xf>
    <xf numFmtId="0" fontId="13" fillId="24" borderId="21" xfId="0" applyFont="1" applyFill="1" applyBorder="1" applyAlignment="1">
      <alignment horizontal="center"/>
    </xf>
    <xf numFmtId="9" fontId="13" fillId="24" borderId="22" xfId="0" applyNumberFormat="1" applyFont="1" applyFill="1" applyBorder="1" applyAlignment="1">
      <alignment horizontal="center"/>
    </xf>
    <xf numFmtId="0" fontId="13" fillId="19" borderId="21" xfId="0" applyFont="1" applyFill="1" applyBorder="1" applyAlignment="1">
      <alignment horizontal="center"/>
    </xf>
    <xf numFmtId="9" fontId="13" fillId="19" borderId="22" xfId="0" applyNumberFormat="1" applyFont="1" applyFill="1" applyBorder="1" applyAlignment="1">
      <alignment horizontal="center"/>
    </xf>
    <xf numFmtId="0" fontId="13" fillId="20" borderId="21" xfId="0" applyFont="1" applyFill="1" applyBorder="1" applyAlignment="1">
      <alignment horizontal="center"/>
    </xf>
    <xf numFmtId="9" fontId="13" fillId="20" borderId="22" xfId="0" applyNumberFormat="1" applyFont="1" applyFill="1" applyBorder="1" applyAlignment="1">
      <alignment horizontal="center"/>
    </xf>
    <xf numFmtId="0" fontId="1" fillId="0" borderId="23" xfId="27" applyNumberFormat="1" applyFont="1" applyFill="1" applyBorder="1" applyAlignment="1">
      <alignment horizontal="left" vertical="center" wrapText="1"/>
    </xf>
    <xf numFmtId="0" fontId="1" fillId="0" borderId="1" xfId="0" applyFont="1" applyBorder="1"/>
    <xf numFmtId="0" fontId="13" fillId="0" borderId="22" xfId="0" applyFont="1" applyBorder="1" applyAlignment="1">
      <alignment wrapText="1"/>
    </xf>
    <xf numFmtId="49" fontId="8" fillId="0" borderId="23" xfId="0" applyNumberFormat="1" applyFont="1" applyBorder="1" applyAlignment="1">
      <alignment horizontal="left" vertical="center"/>
    </xf>
    <xf numFmtId="164" fontId="0" fillId="0" borderId="23" xfId="0" applyNumberFormat="1" applyBorder="1" applyAlignment="1">
      <alignment horizontal="left" vertical="center"/>
    </xf>
    <xf numFmtId="0" fontId="8" fillId="0" borderId="23" xfId="0" applyFont="1" applyBorder="1" applyAlignment="1">
      <alignment horizontal="left" vertical="center" wrapText="1"/>
    </xf>
    <xf numFmtId="0" fontId="0" fillId="0" borderId="23" xfId="0" applyBorder="1" applyAlignment="1">
      <alignment horizontal="left" vertical="center"/>
    </xf>
    <xf numFmtId="49" fontId="0" fillId="0" borderId="23" xfId="0" applyNumberFormat="1" applyBorder="1" applyAlignment="1">
      <alignment horizontal="left" vertical="center" wrapText="1"/>
    </xf>
    <xf numFmtId="49" fontId="1" fillId="0" borderId="23" xfId="0" applyNumberFormat="1" applyFont="1" applyBorder="1" applyAlignment="1">
      <alignment horizontal="left" vertical="center"/>
    </xf>
    <xf numFmtId="49" fontId="3" fillId="2" borderId="23" xfId="0" applyNumberFormat="1" applyFont="1" applyFill="1" applyBorder="1" applyAlignment="1">
      <alignment horizontal="left" vertical="center"/>
    </xf>
    <xf numFmtId="164" fontId="3" fillId="2" borderId="23" xfId="0" applyNumberFormat="1" applyFont="1" applyFill="1" applyBorder="1" applyAlignment="1">
      <alignment horizontal="left" vertical="center"/>
    </xf>
    <xf numFmtId="0" fontId="7" fillId="0" borderId="23" xfId="13" applyBorder="1" applyAlignment="1" applyProtection="1">
      <alignment vertical="center" wrapText="1"/>
    </xf>
    <xf numFmtId="0" fontId="7" fillId="0" borderId="0" xfId="13" applyAlignment="1" applyProtection="1">
      <alignment wrapText="1"/>
    </xf>
    <xf numFmtId="44" fontId="1" fillId="10" borderId="23" xfId="27" applyFont="1" applyFill="1" applyBorder="1"/>
    <xf numFmtId="44" fontId="8" fillId="10" borderId="23" xfId="0" applyNumberFormat="1" applyFont="1" applyFill="1" applyBorder="1" applyAlignment="1">
      <alignment vertical="center" wrapText="1"/>
    </xf>
    <xf numFmtId="0" fontId="42" fillId="22" borderId="23" xfId="0" applyFont="1" applyFill="1" applyBorder="1" applyAlignment="1">
      <alignment vertical="center"/>
    </xf>
    <xf numFmtId="0" fontId="39" fillId="0" borderId="23" xfId="0" applyFont="1" applyBorder="1" applyAlignment="1">
      <alignment vertical="center"/>
    </xf>
    <xf numFmtId="0" fontId="1" fillId="10" borderId="40" xfId="0" applyFont="1" applyFill="1" applyBorder="1" applyAlignment="1">
      <alignment vertical="center" wrapText="1"/>
    </xf>
    <xf numFmtId="0" fontId="0" fillId="10" borderId="46" xfId="0" applyFill="1" applyBorder="1" applyAlignment="1">
      <alignment vertical="center" wrapText="1"/>
    </xf>
    <xf numFmtId="0" fontId="0" fillId="10" borderId="34" xfId="0" applyFill="1" applyBorder="1" applyAlignment="1">
      <alignment vertical="center" wrapText="1"/>
    </xf>
    <xf numFmtId="0" fontId="0" fillId="0" borderId="49" xfId="0" applyBorder="1" applyAlignment="1">
      <alignment vertical="center" wrapText="1"/>
    </xf>
    <xf numFmtId="0" fontId="0" fillId="0" borderId="44" xfId="0" applyBorder="1" applyAlignment="1">
      <alignment vertical="center" wrapText="1"/>
    </xf>
    <xf numFmtId="0" fontId="0" fillId="0" borderId="50" xfId="0" applyBorder="1" applyAlignment="1">
      <alignment vertical="center" wrapText="1"/>
    </xf>
    <xf numFmtId="0" fontId="0" fillId="0" borderId="38" xfId="0" applyBorder="1" applyAlignment="1">
      <alignment vertical="center" wrapText="1"/>
    </xf>
    <xf numFmtId="0" fontId="0" fillId="0" borderId="0" xfId="0" applyAlignment="1">
      <alignment vertical="center" wrapText="1"/>
    </xf>
    <xf numFmtId="0" fontId="0" fillId="0" borderId="39" xfId="0" applyBorder="1" applyAlignment="1">
      <alignment vertical="center" wrapText="1"/>
    </xf>
    <xf numFmtId="0" fontId="1" fillId="10" borderId="23" xfId="0" applyFont="1" applyFill="1" applyBorder="1" applyAlignment="1">
      <alignment horizontal="left" vertical="center" wrapText="1"/>
    </xf>
    <xf numFmtId="0" fontId="0" fillId="10" borderId="23" xfId="0" applyFill="1" applyBorder="1" applyAlignment="1">
      <alignment vertical="center" wrapText="1"/>
    </xf>
    <xf numFmtId="0" fontId="1" fillId="10" borderId="23" xfId="0" applyFont="1" applyFill="1" applyBorder="1" applyAlignment="1">
      <alignment vertical="center" wrapText="1"/>
    </xf>
    <xf numFmtId="0" fontId="1" fillId="10" borderId="23" xfId="0" applyFont="1" applyFill="1" applyBorder="1" applyAlignment="1">
      <alignment vertical="center"/>
    </xf>
    <xf numFmtId="0" fontId="0" fillId="0" borderId="23" xfId="0" applyBorder="1" applyAlignment="1">
      <alignment vertical="center"/>
    </xf>
    <xf numFmtId="0" fontId="1" fillId="10" borderId="45" xfId="0" applyFont="1" applyFill="1" applyBorder="1" applyAlignment="1">
      <alignment vertical="center"/>
    </xf>
    <xf numFmtId="0" fontId="1" fillId="0" borderId="59" xfId="0" applyFont="1" applyBorder="1" applyAlignment="1">
      <alignment vertical="center"/>
    </xf>
    <xf numFmtId="0" fontId="1" fillId="0" borderId="33" xfId="0" applyFont="1" applyBorder="1" applyAlignment="1">
      <alignment vertical="center"/>
    </xf>
    <xf numFmtId="0" fontId="1" fillId="10" borderId="21" xfId="0" applyFont="1" applyFill="1" applyBorder="1" applyAlignment="1">
      <alignment vertical="center" wrapText="1"/>
    </xf>
    <xf numFmtId="0" fontId="1" fillId="10" borderId="1" xfId="0" applyFont="1" applyFill="1" applyBorder="1" applyAlignment="1">
      <alignment vertical="center" wrapText="1"/>
    </xf>
    <xf numFmtId="0" fontId="0" fillId="0" borderId="22" xfId="0" applyBorder="1" applyAlignment="1">
      <alignment vertical="center" wrapText="1"/>
    </xf>
    <xf numFmtId="0" fontId="41" fillId="10" borderId="23" xfId="0" applyFont="1" applyFill="1" applyBorder="1"/>
    <xf numFmtId="0" fontId="41" fillId="0" borderId="23" xfId="0" applyFont="1" applyBorder="1"/>
    <xf numFmtId="0" fontId="0" fillId="10" borderId="23" xfId="0" applyFill="1" applyBorder="1" applyAlignment="1">
      <alignment vertical="center"/>
    </xf>
    <xf numFmtId="2" fontId="1" fillId="10" borderId="23" xfId="0" applyNumberFormat="1" applyFont="1" applyFill="1" applyBorder="1" applyAlignment="1">
      <alignment horizontal="left" vertical="center" wrapText="1"/>
    </xf>
    <xf numFmtId="0" fontId="1" fillId="0" borderId="23" xfId="0" applyFont="1" applyBorder="1" applyAlignment="1">
      <alignment horizontal="left" vertical="center" wrapText="1"/>
    </xf>
    <xf numFmtId="0" fontId="3" fillId="4" borderId="23" xfId="0" applyFont="1" applyFill="1" applyBorder="1" applyAlignment="1">
      <alignment vertical="center"/>
    </xf>
    <xf numFmtId="0" fontId="1" fillId="10" borderId="45" xfId="0" applyFont="1" applyFill="1" applyBorder="1" applyAlignment="1">
      <alignment horizontal="left" vertical="center"/>
    </xf>
    <xf numFmtId="0" fontId="0" fillId="0" borderId="59" xfId="0" applyBorder="1" applyAlignment="1">
      <alignment vertical="center"/>
    </xf>
    <xf numFmtId="0" fontId="0" fillId="0" borderId="33" xfId="0" applyBorder="1" applyAlignment="1">
      <alignment vertical="center"/>
    </xf>
    <xf numFmtId="0" fontId="0" fillId="4" borderId="20" xfId="0" applyFill="1" applyBorder="1" applyAlignment="1">
      <alignment horizontal="center" vertical="center"/>
    </xf>
    <xf numFmtId="0" fontId="0" fillId="4" borderId="0" xfId="0" applyFill="1" applyAlignment="1">
      <alignment horizontal="center" vertical="center" wrapText="1"/>
    </xf>
    <xf numFmtId="0" fontId="0" fillId="0" borderId="0" xfId="0" applyAlignment="1">
      <alignment horizontal="center"/>
    </xf>
    <xf numFmtId="0" fontId="0" fillId="0" borderId="44" xfId="0" applyBorder="1" applyAlignment="1">
      <alignment horizontal="center"/>
    </xf>
    <xf numFmtId="0" fontId="1" fillId="4" borderId="20"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89" xfId="0" applyBorder="1" applyAlignment="1">
      <alignment horizontal="center" vertical="center" wrapText="1"/>
    </xf>
    <xf numFmtId="0" fontId="0" fillId="4" borderId="20" xfId="0" applyFill="1" applyBorder="1" applyAlignment="1">
      <alignment horizontal="center" vertical="center" wrapText="1"/>
    </xf>
    <xf numFmtId="0" fontId="11" fillId="4" borderId="45" xfId="0" applyFont="1" applyFill="1" applyBorder="1" applyAlignment="1">
      <alignment horizontal="left" vertical="top"/>
    </xf>
    <xf numFmtId="0" fontId="11" fillId="4" borderId="59" xfId="0" applyFont="1" applyFill="1" applyBorder="1" applyAlignment="1">
      <alignment horizontal="left" vertical="top"/>
    </xf>
    <xf numFmtId="0" fontId="11" fillId="13" borderId="59" xfId="0" applyFont="1" applyFill="1" applyBorder="1" applyAlignment="1">
      <alignment horizontal="center"/>
    </xf>
    <xf numFmtId="0" fontId="0" fillId="0" borderId="59" xfId="0" applyBorder="1" applyAlignment="1">
      <alignment horizontal="center"/>
    </xf>
    <xf numFmtId="0" fontId="0" fillId="0" borderId="33" xfId="0" applyBorder="1" applyAlignment="1">
      <alignment horizontal="center"/>
    </xf>
    <xf numFmtId="0" fontId="13" fillId="22" borderId="21" xfId="0" applyFont="1" applyFill="1" applyBorder="1" applyAlignment="1">
      <alignment horizontal="center" vertical="top" wrapText="1"/>
    </xf>
    <xf numFmtId="0" fontId="0" fillId="22" borderId="22" xfId="0" applyFill="1" applyBorder="1" applyAlignment="1">
      <alignment vertical="top" wrapText="1"/>
    </xf>
    <xf numFmtId="0" fontId="1" fillId="0" borderId="0" xfId="0" applyFont="1" applyAlignment="1">
      <alignment wrapText="1"/>
    </xf>
    <xf numFmtId="0" fontId="0" fillId="0" borderId="0" xfId="0" applyAlignment="1">
      <alignment wrapText="1"/>
    </xf>
    <xf numFmtId="0" fontId="1" fillId="5" borderId="21" xfId="0" applyFont="1" applyFill="1" applyBorder="1" applyAlignment="1">
      <alignment vertical="center"/>
    </xf>
    <xf numFmtId="0" fontId="0" fillId="0" borderId="22" xfId="0" applyBorder="1" applyAlignment="1">
      <alignment vertical="center"/>
    </xf>
    <xf numFmtId="0" fontId="1" fillId="0" borderId="21" xfId="0" applyFont="1" applyBorder="1" applyAlignment="1">
      <alignment vertical="center" wrapText="1"/>
    </xf>
    <xf numFmtId="44" fontId="1" fillId="17" borderId="23" xfId="0" applyNumberFormat="1" applyFont="1" applyFill="1" applyBorder="1" applyAlignment="1">
      <alignment horizontal="center" vertical="center" wrapText="1"/>
    </xf>
    <xf numFmtId="0" fontId="0" fillId="0" borderId="23" xfId="0" applyBorder="1" applyAlignment="1">
      <alignment horizontal="center" vertical="center"/>
    </xf>
    <xf numFmtId="42" fontId="3" fillId="0" borderId="38" xfId="0" applyNumberFormat="1" applyFont="1" applyBorder="1" applyAlignment="1">
      <alignment vertical="center"/>
    </xf>
    <xf numFmtId="0" fontId="0" fillId="0" borderId="38" xfId="0" applyBorder="1" applyAlignment="1">
      <alignment vertical="center"/>
    </xf>
    <xf numFmtId="0" fontId="3" fillId="5" borderId="40" xfId="0" applyFont="1" applyFill="1" applyBorder="1" applyAlignment="1">
      <alignment wrapText="1"/>
    </xf>
    <xf numFmtId="0" fontId="3" fillId="5" borderId="46" xfId="0" applyFont="1" applyFill="1" applyBorder="1" applyAlignment="1">
      <alignment wrapText="1"/>
    </xf>
    <xf numFmtId="0" fontId="3" fillId="5" borderId="34" xfId="0" applyFont="1" applyFill="1" applyBorder="1" applyAlignment="1">
      <alignment wrapText="1"/>
    </xf>
  </cellXfs>
  <cellStyles count="28">
    <cellStyle name="Atalnod 2" xfId="1" xr:uid="{00000000-0005-0000-0000-000000000000}"/>
    <cellStyle name="Canran 2" xfId="2" xr:uid="{00000000-0005-0000-0000-000001000000}"/>
    <cellStyle name="Comma" xfId="3" builtinId="3"/>
    <cellStyle name="Comma 2" xfId="4" xr:uid="{00000000-0005-0000-0000-000003000000}"/>
    <cellStyle name="Comma 3" xfId="5" xr:uid="{00000000-0005-0000-0000-000004000000}"/>
    <cellStyle name="Comma0" xfId="6" xr:uid="{00000000-0005-0000-0000-000005000000}"/>
    <cellStyle name="Currency" xfId="27" builtinId="4"/>
    <cellStyle name="Currency0" xfId="7" xr:uid="{00000000-0005-0000-0000-000006000000}"/>
    <cellStyle name="Date" xfId="8" xr:uid="{00000000-0005-0000-0000-000007000000}"/>
    <cellStyle name="Fixed" xfId="9" xr:uid="{00000000-0005-0000-0000-000008000000}"/>
    <cellStyle name="Heading 1 2" xfId="10" xr:uid="{00000000-0005-0000-0000-000009000000}"/>
    <cellStyle name="Heading 2 2" xfId="11" xr:uid="{00000000-0005-0000-0000-00000A000000}"/>
    <cellStyle name="Highlight" xfId="12" xr:uid="{00000000-0005-0000-0000-00000B000000}"/>
    <cellStyle name="Hyperlink" xfId="13" builtinId="8"/>
    <cellStyle name="Hyperlink 2" xfId="14" xr:uid="{00000000-0005-0000-0000-00000D000000}"/>
    <cellStyle name="Normal" xfId="0" builtinId="0"/>
    <cellStyle name="Normal 2" xfId="15" xr:uid="{00000000-0005-0000-0000-00000F000000}"/>
    <cellStyle name="Normal 2 2" xfId="16" xr:uid="{00000000-0005-0000-0000-000010000000}"/>
    <cellStyle name="Normal 2 3" xfId="17" xr:uid="{00000000-0005-0000-0000-000011000000}"/>
    <cellStyle name="Normal 2 4" xfId="18" xr:uid="{00000000-0005-0000-0000-000012000000}"/>
    <cellStyle name="Normal 3" xfId="19" xr:uid="{00000000-0005-0000-0000-000013000000}"/>
    <cellStyle name="Normal 3 2" xfId="20" xr:uid="{00000000-0005-0000-0000-000014000000}"/>
    <cellStyle name="Normal 4" xfId="21" xr:uid="{00000000-0005-0000-0000-000015000000}"/>
    <cellStyle name="Normal 5" xfId="22" xr:uid="{00000000-0005-0000-0000-000016000000}"/>
    <cellStyle name="Percent 2" xfId="23" xr:uid="{00000000-0005-0000-0000-000017000000}"/>
    <cellStyle name="Percent 3" xfId="24" xr:uid="{00000000-0005-0000-0000-000018000000}"/>
    <cellStyle name="Percent 4" xfId="25" xr:uid="{00000000-0005-0000-0000-000019000000}"/>
    <cellStyle name="Total 2" xfId="26" xr:uid="{00000000-0005-0000-0000-00001A000000}"/>
  </cellStyles>
  <dxfs count="53">
    <dxf>
      <font>
        <color theme="0"/>
      </font>
      <fill>
        <patternFill>
          <bgColor rgb="FF92D050"/>
        </patternFill>
      </fill>
    </dxf>
    <dxf>
      <font>
        <b val="0"/>
        <i val="0"/>
        <color theme="0"/>
      </font>
      <fill>
        <patternFill>
          <bgColor rgb="FFFF0000"/>
        </patternFill>
      </fill>
    </dxf>
    <dxf>
      <font>
        <color theme="0"/>
      </font>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92D050"/>
        </patternFill>
      </fill>
    </dxf>
    <dxf>
      <font>
        <color theme="0"/>
      </font>
      <fill>
        <patternFill>
          <bgColor rgb="FFFF0000"/>
        </patternFill>
      </fill>
    </dxf>
    <dxf>
      <font>
        <color theme="0"/>
      </font>
      <fill>
        <patternFill>
          <bgColor rgb="FF92D050"/>
        </patternFill>
      </fill>
    </dxf>
    <dxf>
      <font>
        <color theme="0"/>
      </font>
      <fill>
        <patternFill>
          <bgColor rgb="FFFF0000"/>
        </patternFill>
      </fill>
    </dxf>
    <dxf>
      <font>
        <color theme="0"/>
      </font>
      <fill>
        <patternFill>
          <bgColor rgb="FF92D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92D050"/>
        </patternFill>
      </fill>
    </dxf>
    <dxf>
      <font>
        <color theme="0"/>
      </font>
      <fill>
        <patternFill>
          <bgColor rgb="FFFF0000"/>
        </patternFill>
      </fill>
    </dxf>
    <dxf>
      <font>
        <color theme="0"/>
      </font>
      <fill>
        <patternFill>
          <bgColor rgb="FFFF0000"/>
        </patternFill>
      </fill>
    </dxf>
    <dxf>
      <font>
        <color theme="0"/>
      </font>
      <fill>
        <patternFill>
          <bgColor rgb="FF92D050"/>
        </patternFill>
      </fill>
    </dxf>
    <dxf>
      <font>
        <color theme="0"/>
      </font>
      <fill>
        <patternFill>
          <bgColor rgb="FFFF0000"/>
        </patternFill>
      </fill>
    </dxf>
    <dxf>
      <font>
        <color theme="0"/>
      </font>
      <fill>
        <patternFill>
          <bgColor rgb="FF92D05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border>
        <left style="thin">
          <color auto="1"/>
        </left>
        <right style="thin">
          <color auto="1"/>
        </right>
        <top style="thin">
          <color auto="1"/>
        </top>
        <bottom style="thin">
          <color auto="1"/>
        </bottom>
      </border>
    </dxf>
    <dxf>
      <font>
        <strike val="0"/>
        <color theme="0"/>
      </font>
      <fill>
        <patternFill>
          <bgColor theme="0"/>
        </patternFill>
      </fill>
    </dxf>
    <dxf>
      <font>
        <color theme="0"/>
      </font>
      <fill>
        <patternFill>
          <bgColor rgb="FFFF0000"/>
        </patternFill>
      </fill>
      <border>
        <left/>
        <right/>
        <top/>
        <bottom/>
      </border>
    </dxf>
    <dxf>
      <font>
        <color theme="0"/>
      </font>
      <fill>
        <patternFill>
          <bgColor rgb="FFFF0000"/>
        </patternFill>
      </fill>
    </dxf>
    <dxf>
      <font>
        <color theme="0"/>
      </font>
      <fill>
        <patternFill>
          <bgColor rgb="FF92D050"/>
        </patternFill>
      </fill>
    </dxf>
    <dxf>
      <fill>
        <patternFill>
          <bgColor rgb="FF92D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ont>
        <color theme="0"/>
      </font>
      <fill>
        <patternFill>
          <bgColor rgb="FFFF0000"/>
        </patternFill>
      </fill>
    </dxf>
    <dxf>
      <font>
        <color theme="0"/>
      </font>
      <fill>
        <patternFill>
          <bgColor rgb="FFFF0000"/>
        </patternFill>
      </fill>
    </dxf>
    <dxf>
      <fill>
        <patternFill>
          <bgColor theme="6" tint="0.59996337778862885"/>
        </patternFill>
      </fill>
    </dxf>
    <dxf>
      <fill>
        <patternFill>
          <bgColor theme="6" tint="0.59996337778862885"/>
        </patternFill>
      </fill>
    </dxf>
    <dxf>
      <fill>
        <patternFill>
          <bgColor theme="0" tint="-0.14996795556505021"/>
        </patternFill>
      </fill>
    </dxf>
    <dxf>
      <font>
        <color theme="0"/>
      </font>
      <fill>
        <patternFill>
          <bgColor theme="0"/>
        </patternFill>
      </fill>
    </dxf>
    <dxf>
      <font>
        <color theme="0"/>
      </font>
      <fill>
        <patternFill>
          <bgColor theme="0"/>
        </patternFill>
      </fill>
    </dxf>
    <dxf>
      <fill>
        <patternFill>
          <bgColor theme="0" tint="-4.9989318521683403E-2"/>
        </patternFill>
      </fill>
    </dxf>
    <dxf>
      <border>
        <left style="thin">
          <color auto="1"/>
        </left>
        <right style="thin">
          <color auto="1"/>
        </right>
        <top style="thin">
          <color auto="1"/>
        </top>
        <bottom style="thin">
          <color auto="1"/>
        </bottom>
      </border>
    </dxf>
    <dxf>
      <font>
        <b/>
        <i val="0"/>
        <color auto="1"/>
      </font>
      <fill>
        <patternFill>
          <bgColor theme="0" tint="-0.14996795556505021"/>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1" defaultTableStyle="TableStyleMedium2" defaultPivotStyle="PivotStyleLight16">
    <tableStyle name="FS 2020" pivot="0" count="4" xr9:uid="{00000000-0011-0000-FFFF-FFFF00000000}">
      <tableStyleElement type="wholeTable" dxfId="52"/>
      <tableStyleElement type="headerRow" dxfId="51"/>
      <tableStyleElement type="firstColumn" dxfId="50"/>
      <tableStyleElement type="firstRowStripe" dxfId="49"/>
    </tableStyle>
  </tableStyles>
  <colors>
    <mruColors>
      <color rgb="FFFFFF99"/>
      <color rgb="FFF7FDA3"/>
      <color rgb="FF00CC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333333"/>
                </a:solidFill>
                <a:latin typeface="Calibri"/>
                <a:ea typeface="Calibri"/>
                <a:cs typeface="Calibri"/>
              </a:defRPr>
            </a:pPr>
            <a:r>
              <a:rPr lang="en-GB"/>
              <a:t>Share of income by source (discounted)</a:t>
            </a:r>
          </a:p>
        </c:rich>
      </c:tx>
      <c:overlay val="0"/>
      <c:spPr>
        <a:noFill/>
        <a:ln w="25400">
          <a:noFill/>
        </a:ln>
      </c:spPr>
    </c:title>
    <c:autoTitleDeleted val="0"/>
    <c:plotArea>
      <c:layout>
        <c:manualLayout>
          <c:layoutTarget val="inner"/>
          <c:xMode val="edge"/>
          <c:yMode val="edge"/>
          <c:x val="0.20871589164561977"/>
          <c:y val="0.10741034458998112"/>
          <c:w val="0.5792080423909276"/>
          <c:h val="0.73264979109114936"/>
        </c:manualLayout>
      </c:layout>
      <c:pieChart>
        <c:varyColors val="1"/>
        <c:ser>
          <c:idx val="1"/>
          <c:order val="0"/>
          <c:spPr>
            <a:ln>
              <a:solidFill>
                <a:schemeClr val="accent3">
                  <a:lumMod val="60000"/>
                  <a:lumOff val="40000"/>
                </a:schemeClr>
              </a:solidFill>
            </a:ln>
          </c:spPr>
          <c:dPt>
            <c:idx val="0"/>
            <c:bubble3D val="0"/>
            <c:spPr>
              <a:solidFill>
                <a:srgbClr val="FFFF99"/>
              </a:solidFill>
              <a:ln w="19050">
                <a:solidFill>
                  <a:schemeClr val="accent3">
                    <a:lumMod val="60000"/>
                    <a:lumOff val="40000"/>
                  </a:schemeClr>
                </a:solidFill>
              </a:ln>
              <a:effectLst/>
            </c:spPr>
            <c:extLst>
              <c:ext xmlns:c16="http://schemas.microsoft.com/office/drawing/2014/chart" uri="{C3380CC4-5D6E-409C-BE32-E72D297353CC}">
                <c16:uniqueId val="{00000000-0B32-4D6B-8B9A-97A571DD9C8A}"/>
              </c:ext>
            </c:extLst>
          </c:dPt>
          <c:dPt>
            <c:idx val="1"/>
            <c:bubble3D val="0"/>
            <c:spPr>
              <a:solidFill>
                <a:schemeClr val="accent5">
                  <a:lumMod val="40000"/>
                  <a:lumOff val="60000"/>
                </a:schemeClr>
              </a:solidFill>
              <a:ln w="19050">
                <a:solidFill>
                  <a:schemeClr val="accent3">
                    <a:lumMod val="60000"/>
                    <a:lumOff val="40000"/>
                  </a:schemeClr>
                </a:solidFill>
              </a:ln>
              <a:effectLst/>
            </c:spPr>
            <c:extLst>
              <c:ext xmlns:c16="http://schemas.microsoft.com/office/drawing/2014/chart" uri="{C3380CC4-5D6E-409C-BE32-E72D297353CC}">
                <c16:uniqueId val="{00000001-0B32-4D6B-8B9A-97A571DD9C8A}"/>
              </c:ext>
            </c:extLst>
          </c:dPt>
          <c:dPt>
            <c:idx val="2"/>
            <c:bubble3D val="0"/>
            <c:spPr>
              <a:solidFill>
                <a:schemeClr val="accent3">
                  <a:lumMod val="75000"/>
                </a:schemeClr>
              </a:solidFill>
              <a:ln w="19050">
                <a:solidFill>
                  <a:schemeClr val="accent3">
                    <a:lumMod val="60000"/>
                    <a:lumOff val="40000"/>
                  </a:schemeClr>
                </a:solidFill>
              </a:ln>
              <a:effectLst/>
            </c:spPr>
            <c:extLst>
              <c:ext xmlns:c16="http://schemas.microsoft.com/office/drawing/2014/chart" uri="{C3380CC4-5D6E-409C-BE32-E72D297353CC}">
                <c16:uniqueId val="{00000002-0B32-4D6B-8B9A-97A571DD9C8A}"/>
              </c:ext>
            </c:extLst>
          </c:dPt>
          <c:dPt>
            <c:idx val="3"/>
            <c:bubble3D val="0"/>
            <c:spPr>
              <a:solidFill>
                <a:schemeClr val="accent3">
                  <a:lumMod val="60000"/>
                  <a:lumOff val="40000"/>
                </a:schemeClr>
              </a:solidFill>
              <a:ln w="19050">
                <a:solidFill>
                  <a:schemeClr val="accent3">
                    <a:lumMod val="60000"/>
                    <a:lumOff val="40000"/>
                  </a:schemeClr>
                </a:solidFill>
              </a:ln>
              <a:effectLst/>
            </c:spPr>
            <c:extLst>
              <c:ext xmlns:c16="http://schemas.microsoft.com/office/drawing/2014/chart" uri="{C3380CC4-5D6E-409C-BE32-E72D297353CC}">
                <c16:uniqueId val="{00000003-0B32-4D6B-8B9A-97A571DD9C8A}"/>
              </c:ext>
            </c:extLst>
          </c:dPt>
          <c:dPt>
            <c:idx val="4"/>
            <c:bubble3D val="0"/>
            <c:spPr>
              <a:solidFill>
                <a:schemeClr val="accent3">
                  <a:lumMod val="40000"/>
                  <a:lumOff val="60000"/>
                </a:schemeClr>
              </a:solidFill>
              <a:ln w="19050">
                <a:solidFill>
                  <a:schemeClr val="accent3">
                    <a:lumMod val="40000"/>
                    <a:lumOff val="60000"/>
                  </a:schemeClr>
                </a:solidFill>
              </a:ln>
              <a:effectLst/>
            </c:spPr>
            <c:extLst>
              <c:ext xmlns:c16="http://schemas.microsoft.com/office/drawing/2014/chart" uri="{C3380CC4-5D6E-409C-BE32-E72D297353CC}">
                <c16:uniqueId val="{00000004-0B32-4D6B-8B9A-97A571DD9C8A}"/>
              </c:ext>
            </c:extLst>
          </c:dPt>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Results!$C$13:$F$13</c:f>
              <c:strCache>
                <c:ptCount val="4"/>
                <c:pt idx="0">
                  <c:v>Carbon</c:v>
                </c:pt>
                <c:pt idx="1">
                  <c:v>Grant</c:v>
                </c:pt>
                <c:pt idx="2">
                  <c:v>Timber</c:v>
                </c:pt>
                <c:pt idx="3">
                  <c:v>Donations</c:v>
                </c:pt>
              </c:strCache>
            </c:strRef>
          </c:cat>
          <c:val>
            <c:numRef>
              <c:f>Results!$C$14:$F$14</c:f>
              <c:numCache>
                <c:formatCode>0%</c:formatCode>
                <c:ptCount val="4"/>
                <c:pt idx="0">
                  <c:v>0</c:v>
                </c:pt>
                <c:pt idx="1">
                  <c:v>0</c:v>
                </c:pt>
                <c:pt idx="2">
                  <c:v>0</c:v>
                </c:pt>
                <c:pt idx="3">
                  <c:v>0</c:v>
                </c:pt>
              </c:numCache>
            </c:numRef>
          </c:val>
          <c:extLst>
            <c:ext xmlns:c16="http://schemas.microsoft.com/office/drawing/2014/chart" uri="{C3380CC4-5D6E-409C-BE32-E72D297353CC}">
              <c16:uniqueId val="{00000005-0B32-4D6B-8B9A-97A571DD9C8A}"/>
            </c:ext>
          </c:extLst>
        </c:ser>
        <c:dLbls>
          <c:showLegendKey val="0"/>
          <c:showVal val="0"/>
          <c:showCatName val="0"/>
          <c:showSerName val="0"/>
          <c:showPercent val="0"/>
          <c:showBubbleSize val="0"/>
          <c:showLeaderLines val="1"/>
        </c:dLbls>
        <c:firstSliceAng val="0"/>
      </c:pieChart>
      <c:spPr>
        <a:noFill/>
        <a:ln w="25400">
          <a:noFill/>
        </a:ln>
      </c:spPr>
    </c:plotArea>
    <c:legend>
      <c:legendPos val="r"/>
      <c:legendEntry>
        <c:idx val="0"/>
        <c:txPr>
          <a:bodyPr/>
          <a:lstStyle/>
          <a:p>
            <a:pPr>
              <a:defRPr sz="1285" b="0" i="0" u="none" strike="noStrike" baseline="0">
                <a:solidFill>
                  <a:srgbClr val="333333"/>
                </a:solidFill>
                <a:latin typeface="Calibri"/>
                <a:ea typeface="Calibri"/>
                <a:cs typeface="Calibri"/>
              </a:defRPr>
            </a:pPr>
            <a:endParaRPr lang="en-US"/>
          </a:p>
        </c:txPr>
      </c:legendEntry>
      <c:legendEntry>
        <c:idx val="1"/>
        <c:txPr>
          <a:bodyPr/>
          <a:lstStyle/>
          <a:p>
            <a:pPr>
              <a:defRPr sz="1285" b="0" i="0" u="none" strike="noStrike" baseline="0">
                <a:solidFill>
                  <a:srgbClr val="333333"/>
                </a:solidFill>
                <a:latin typeface="Calibri"/>
                <a:ea typeface="Calibri"/>
                <a:cs typeface="Calibri"/>
              </a:defRPr>
            </a:pPr>
            <a:endParaRPr lang="en-US"/>
          </a:p>
        </c:txPr>
      </c:legendEntry>
      <c:legendEntry>
        <c:idx val="2"/>
        <c:txPr>
          <a:bodyPr/>
          <a:lstStyle/>
          <a:p>
            <a:pPr>
              <a:defRPr sz="1285" b="0" i="0" u="none" strike="noStrike" baseline="0">
                <a:solidFill>
                  <a:srgbClr val="333333"/>
                </a:solidFill>
                <a:latin typeface="Calibri"/>
                <a:ea typeface="Calibri"/>
                <a:cs typeface="Calibri"/>
              </a:defRPr>
            </a:pPr>
            <a:endParaRPr lang="en-US"/>
          </a:p>
        </c:txPr>
      </c:legendEntry>
      <c:legendEntry>
        <c:idx val="3"/>
        <c:txPr>
          <a:bodyPr/>
          <a:lstStyle/>
          <a:p>
            <a:pPr>
              <a:defRPr sz="1285" b="0" i="0" u="none" strike="noStrike" baseline="0">
                <a:solidFill>
                  <a:srgbClr val="333333"/>
                </a:solidFill>
                <a:latin typeface="Calibri"/>
                <a:ea typeface="Calibri"/>
                <a:cs typeface="Calibri"/>
              </a:defRPr>
            </a:pPr>
            <a:endParaRPr lang="en-US"/>
          </a:p>
        </c:txPr>
      </c:legendEntry>
      <c:layout>
        <c:manualLayout>
          <c:xMode val="edge"/>
          <c:yMode val="edge"/>
          <c:x val="0.10571923743500866"/>
          <c:y val="0.89429175475687106"/>
          <c:w val="0.78162984392982071"/>
          <c:h val="6.342494714587732E-2"/>
        </c:manualLayout>
      </c:layout>
      <c:overlay val="0"/>
      <c:spPr>
        <a:noFill/>
        <a:ln w="25400">
          <a:noFill/>
        </a:ln>
      </c:spPr>
      <c:txPr>
        <a:bodyPr/>
        <a:lstStyle/>
        <a:p>
          <a:pPr>
            <a:defRPr sz="1100" b="0"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15</xdr:row>
      <xdr:rowOff>19050</xdr:rowOff>
    </xdr:from>
    <xdr:to>
      <xdr:col>4</xdr:col>
      <xdr:colOff>1457325</xdr:colOff>
      <xdr:row>39</xdr:row>
      <xdr:rowOff>123825</xdr:rowOff>
    </xdr:to>
    <xdr:graphicFrame macro="">
      <xdr:nvGraphicFramePr>
        <xdr:cNvPr id="238822" name="Chart 1" descr="Pie chart which shows the share of income sources discounted for this project.">
          <a:extLst>
            <a:ext uri="{FF2B5EF4-FFF2-40B4-BE49-F238E27FC236}">
              <a16:creationId xmlns:a16="http://schemas.microsoft.com/office/drawing/2014/main" id="{00000000-0008-0000-0300-0000E6A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3</xdr:col>
      <xdr:colOff>1352550</xdr:colOff>
      <xdr:row>58</xdr:row>
      <xdr:rowOff>139700</xdr:rowOff>
    </xdr:to>
    <xdr:pic>
      <xdr:nvPicPr>
        <xdr:cNvPr id="90321" name="Picture 1">
          <a:extLst>
            <a:ext uri="{FF2B5EF4-FFF2-40B4-BE49-F238E27FC236}">
              <a16:creationId xmlns:a16="http://schemas.microsoft.com/office/drawing/2014/main" id="{00000000-0008-0000-0700-0000D160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09925"/>
          <a:ext cx="6496050" cy="678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hyperlink" Target="https://map.environment.gov.scot/sewebmap/" TargetMode="External"/><Relationship Id="rId7" Type="http://schemas.openxmlformats.org/officeDocument/2006/relationships/printerSettings" Target="../printerSettings/printerSettings2.bin"/><Relationship Id="rId2" Type="http://schemas.openxmlformats.org/officeDocument/2006/relationships/hyperlink" Target="https://map.environment.gov.scot/sewebmap/" TargetMode="External"/><Relationship Id="rId1" Type="http://schemas.openxmlformats.org/officeDocument/2006/relationships/hyperlink" Target="https://magic.defra.gov.uk/MagicMap.html" TargetMode="External"/><Relationship Id="rId6" Type="http://schemas.openxmlformats.org/officeDocument/2006/relationships/hyperlink" Target="https://magic.defra.gov.uk/MagicMap.html" TargetMode="External"/><Relationship Id="rId5" Type="http://schemas.openxmlformats.org/officeDocument/2006/relationships/hyperlink" Target="https://datamap.gov.wales/maps/new" TargetMode="External"/><Relationship Id="rId4" Type="http://schemas.openxmlformats.org/officeDocument/2006/relationships/hyperlink" Target="https://datamap.gov.wales/maps/ne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growninbritain.org/wp-content/uploads/2024/11/Hardwood-Price-size-tables-and-curves-2023-Final-071124.pdf" TargetMode="External"/><Relationship Id="rId2" Type="http://schemas.openxmlformats.org/officeDocument/2006/relationships/hyperlink" Target="https://www.forestresearch.gov.uk/tools-and-resources/statistics/statistics-by-topic/timber-statistics/timber-price-indices/?msclkid=e312047aab5b11eca44e6bb8625fc463" TargetMode="External"/><Relationship Id="rId1" Type="http://schemas.openxmlformats.org/officeDocument/2006/relationships/hyperlink" Target="https://www.forestresearch.gov.uk/tools-and-resources/fthr/forest-yield/" TargetMode="External"/><Relationship Id="rId5" Type="http://schemas.openxmlformats.org/officeDocument/2006/relationships/printerSettings" Target="../printerSettings/printerSettings6.bin"/><Relationship Id="rId4" Type="http://schemas.openxmlformats.org/officeDocument/2006/relationships/hyperlink" Target="https://www.woodlandcarboncode.org.uk/uk-land-carbon-registry/uk-carbon-pric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gov.wales/woodland-creation-grant-window-5-rules-booklet-html" TargetMode="External"/><Relationship Id="rId13" Type="http://schemas.openxmlformats.org/officeDocument/2006/relationships/printerSettings" Target="../printerSettings/printerSettings8.bin"/><Relationship Id="rId3" Type="http://schemas.openxmlformats.org/officeDocument/2006/relationships/hyperlink" Target="http://www.farmbusinesssurvey.co.uk/DataBuilder/" TargetMode="External"/><Relationship Id="rId7" Type="http://schemas.openxmlformats.org/officeDocument/2006/relationships/hyperlink" Target="https://assets.publishing.service.gov.uk/government/uploads/system/uploads/attachment_data/file/992079/ON042_-_Guidance_on_woodland_grant_schemes_and_BPS_v5.0_issued_09062021.pdf" TargetMode="External"/><Relationship Id="rId12" Type="http://schemas.openxmlformats.org/officeDocument/2006/relationships/hyperlink" Target="https://www.daera-ni.gov.uk/publications/farm-incomes-northern-ireland-2004-onwards" TargetMode="External"/><Relationship Id="rId2" Type="http://schemas.openxmlformats.org/officeDocument/2006/relationships/hyperlink" Target="http://www.farmbusinesssurvey.co.uk/DataBuilder/" TargetMode="External"/><Relationship Id="rId1" Type="http://schemas.openxmlformats.org/officeDocument/2006/relationships/hyperlink" Target="http://www.farmbusinesssurvey.co.uk/DataBuilder/" TargetMode="External"/><Relationship Id="rId6" Type="http://schemas.openxmlformats.org/officeDocument/2006/relationships/hyperlink" Target="https://www.fas.scot/downloads/sf-forestry-grant-scheme-woodland-creation/" TargetMode="External"/><Relationship Id="rId11" Type="http://schemas.openxmlformats.org/officeDocument/2006/relationships/hyperlink" Target="https://www.daera-ni.gov.uk/publications/farm-incomes-northern-ireland-2004-onwards" TargetMode="External"/><Relationship Id="rId5" Type="http://schemas.openxmlformats.org/officeDocument/2006/relationships/hyperlink" Target="https://www.daera-ni.gov.uk/sites/default/files/publications/daera/Forest%20Expansion%20Scheme%20Questions%20and%20Answers%202020-2021.pdf" TargetMode="External"/><Relationship Id="rId10" Type="http://schemas.openxmlformats.org/officeDocument/2006/relationships/hyperlink" Target="https://www.gov.scot/collections/scottish-farm-business-income-fbi-annual-estimates/" TargetMode="External"/><Relationship Id="rId4" Type="http://schemas.openxmlformats.org/officeDocument/2006/relationships/hyperlink" Target="http://www.farmbusinesssurvey.co.uk/DataBuilder/" TargetMode="External"/><Relationship Id="rId9" Type="http://schemas.openxmlformats.org/officeDocument/2006/relationships/hyperlink" Target="https://www.gov.scot/collections/scottish-farm-business-income-fbi-annual-estimates/"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tint="0.59999389629810485"/>
  </sheetPr>
  <dimension ref="A1:B10"/>
  <sheetViews>
    <sheetView tabSelected="1" zoomScale="70" zoomScaleNormal="70" workbookViewId="0"/>
  </sheetViews>
  <sheetFormatPr defaultRowHeight="13.5" x14ac:dyDescent="0.3"/>
  <cols>
    <col min="1" max="1" width="36.3828125" customWidth="1"/>
    <col min="2" max="2" width="110.15234375" style="1" customWidth="1"/>
  </cols>
  <sheetData>
    <row r="1" spans="1:2" s="92" customFormat="1" ht="50.15" customHeight="1" thickBot="1" x14ac:dyDescent="0.35">
      <c r="A1" s="335" t="s">
        <v>440</v>
      </c>
      <c r="B1" s="91"/>
    </row>
    <row r="2" spans="1:2" s="87" customFormat="1" ht="50.15" customHeight="1" thickBot="1" x14ac:dyDescent="0.35">
      <c r="A2" s="88" t="s">
        <v>410</v>
      </c>
      <c r="B2" s="547" t="s">
        <v>568</v>
      </c>
    </row>
    <row r="3" spans="1:2" s="87" customFormat="1" ht="50.15" customHeight="1" thickBot="1" x14ac:dyDescent="0.35">
      <c r="A3" s="88" t="s">
        <v>104</v>
      </c>
      <c r="B3" s="90" t="s">
        <v>305</v>
      </c>
    </row>
    <row r="4" spans="1:2" s="87" customFormat="1" ht="50.15" customHeight="1" thickBot="1" x14ac:dyDescent="0.35">
      <c r="A4" s="498" t="s">
        <v>203</v>
      </c>
      <c r="B4" s="89" t="s">
        <v>548</v>
      </c>
    </row>
    <row r="5" spans="1:2" s="87" customFormat="1" ht="50.15" customHeight="1" thickBot="1" x14ac:dyDescent="0.35">
      <c r="A5" s="498" t="s">
        <v>438</v>
      </c>
      <c r="B5" s="89" t="s">
        <v>566</v>
      </c>
    </row>
    <row r="6" spans="1:2" s="87" customFormat="1" ht="50.15" customHeight="1" thickBot="1" x14ac:dyDescent="0.35">
      <c r="A6" s="88" t="s">
        <v>412</v>
      </c>
      <c r="B6" s="89" t="s">
        <v>439</v>
      </c>
    </row>
    <row r="7" spans="1:2" s="87" customFormat="1" ht="50.15" customHeight="1" thickBot="1" x14ac:dyDescent="0.35">
      <c r="A7" s="88" t="s">
        <v>411</v>
      </c>
      <c r="B7" s="89" t="s">
        <v>306</v>
      </c>
    </row>
    <row r="8" spans="1:2" s="87" customFormat="1" ht="50.15" customHeight="1" thickBot="1" x14ac:dyDescent="0.35">
      <c r="A8" s="88" t="s">
        <v>413</v>
      </c>
      <c r="B8" s="89" t="s">
        <v>567</v>
      </c>
    </row>
    <row r="9" spans="1:2" ht="15" x14ac:dyDescent="0.3">
      <c r="A9" s="587"/>
      <c r="B9" s="808"/>
    </row>
    <row r="10" spans="1:2" s="87" customFormat="1" ht="15" x14ac:dyDescent="0.3">
      <c r="A10" s="587"/>
      <c r="B10" s="588"/>
    </row>
  </sheetData>
  <sheetProtection algorithmName="SHA-512" hashValue="xYze1Jv1vNss94BeMEuPF+4bP/0UJ+hOeEPJZrm+itOelKKeGLAtD1xKzJQqid0sY4mklIOPH8QS6JO9NGgx6A==" saltValue="f2WPoKvmfMG2p574agh0zA==" spinCount="100000"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3" tint="0.79998168889431442"/>
  </sheetPr>
  <dimension ref="A1:A7"/>
  <sheetViews>
    <sheetView zoomScale="85" zoomScaleNormal="85" workbookViewId="0"/>
  </sheetViews>
  <sheetFormatPr defaultRowHeight="13.5" x14ac:dyDescent="0.3"/>
  <cols>
    <col min="1" max="1" width="81.3828125" customWidth="1"/>
  </cols>
  <sheetData>
    <row r="1" spans="1:1" ht="15" x14ac:dyDescent="0.3">
      <c r="A1" s="26" t="s">
        <v>578</v>
      </c>
    </row>
    <row r="2" spans="1:1" ht="15" x14ac:dyDescent="0.3">
      <c r="A2" s="27"/>
    </row>
    <row r="3" spans="1:1" ht="45" x14ac:dyDescent="0.3">
      <c r="A3" s="27" t="s">
        <v>266</v>
      </c>
    </row>
    <row r="4" spans="1:1" ht="15" x14ac:dyDescent="0.3">
      <c r="A4" s="27"/>
    </row>
    <row r="5" spans="1:1" ht="45" x14ac:dyDescent="0.3">
      <c r="A5" s="27" t="s">
        <v>265</v>
      </c>
    </row>
    <row r="6" spans="1:1" x14ac:dyDescent="0.3">
      <c r="A6" s="828"/>
    </row>
    <row r="7" spans="1:1" ht="30" x14ac:dyDescent="0.3">
      <c r="A7" s="829" t="s">
        <v>409</v>
      </c>
    </row>
  </sheetData>
  <sheetProtection algorithmName="SHA-512" hashValue="Da4DF4zYBs/bW9B9tkXitrxrGwCZwGpgOdgXZjZzqnuS5iuIVZZOAQrOiP7SZ8lBp8mNQlS5Xl1Y9e9YP29big==" saltValue="G14NlbussF5wQGpujtXcWw=="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3" tint="0.79998168889431442"/>
  </sheetPr>
  <dimension ref="A1:D19"/>
  <sheetViews>
    <sheetView workbookViewId="0">
      <selection activeCell="A2" sqref="A2"/>
    </sheetView>
  </sheetViews>
  <sheetFormatPr defaultRowHeight="13.5" x14ac:dyDescent="0.3"/>
  <cols>
    <col min="1" max="1" width="14.61328125" style="29" customWidth="1"/>
    <col min="2" max="2" width="9.4609375" customWidth="1"/>
    <col min="3" max="3" width="56.84375" customWidth="1"/>
    <col min="4" max="4" width="23" style="1" customWidth="1"/>
  </cols>
  <sheetData>
    <row r="1" spans="1:4" ht="29.25" customHeight="1" x14ac:dyDescent="0.3">
      <c r="A1" s="836" t="s">
        <v>580</v>
      </c>
      <c r="B1" s="837" t="s">
        <v>33</v>
      </c>
      <c r="C1" s="248" t="s">
        <v>34</v>
      </c>
      <c r="D1" s="248" t="s">
        <v>35</v>
      </c>
    </row>
    <row r="2" spans="1:4" ht="43.5" customHeight="1" x14ac:dyDescent="0.3">
      <c r="A2" s="830" t="s">
        <v>38</v>
      </c>
      <c r="B2" s="831">
        <v>1</v>
      </c>
      <c r="C2" s="832" t="s">
        <v>39</v>
      </c>
      <c r="D2" s="348" t="s">
        <v>36</v>
      </c>
    </row>
    <row r="3" spans="1:4" ht="43.5" customHeight="1" x14ac:dyDescent="0.3">
      <c r="A3" s="830" t="s">
        <v>37</v>
      </c>
      <c r="B3" s="831">
        <v>2.1</v>
      </c>
      <c r="C3" s="342" t="s">
        <v>579</v>
      </c>
      <c r="D3" s="348" t="s">
        <v>36</v>
      </c>
    </row>
    <row r="4" spans="1:4" ht="54" x14ac:dyDescent="0.3">
      <c r="A4" s="830" t="s">
        <v>267</v>
      </c>
      <c r="B4" s="833">
        <v>2.2000000000000002</v>
      </c>
      <c r="C4" s="342" t="s">
        <v>375</v>
      </c>
      <c r="D4" s="832" t="s">
        <v>227</v>
      </c>
    </row>
    <row r="5" spans="1:4" ht="40.5" x14ac:dyDescent="0.3">
      <c r="A5" s="834" t="s">
        <v>289</v>
      </c>
      <c r="B5" s="342" t="s">
        <v>291</v>
      </c>
      <c r="C5" s="342" t="s">
        <v>290</v>
      </c>
      <c r="D5" s="832" t="s">
        <v>227</v>
      </c>
    </row>
    <row r="6" spans="1:4" ht="94.5" x14ac:dyDescent="0.3">
      <c r="A6" s="835" t="s">
        <v>604</v>
      </c>
      <c r="B6" s="831" t="s">
        <v>605</v>
      </c>
      <c r="C6" s="342" t="s">
        <v>602</v>
      </c>
      <c r="D6" s="342" t="s">
        <v>376</v>
      </c>
    </row>
    <row r="7" spans="1:4" x14ac:dyDescent="0.3">
      <c r="C7" s="1"/>
    </row>
    <row r="8" spans="1:4" x14ac:dyDescent="0.3">
      <c r="C8" s="1"/>
    </row>
    <row r="9" spans="1:4" x14ac:dyDescent="0.3">
      <c r="C9" s="1"/>
    </row>
    <row r="10" spans="1:4" x14ac:dyDescent="0.3">
      <c r="C10" s="1"/>
    </row>
    <row r="11" spans="1:4" x14ac:dyDescent="0.3">
      <c r="C11" s="1"/>
    </row>
    <row r="12" spans="1:4" x14ac:dyDescent="0.3">
      <c r="C12" s="1"/>
    </row>
    <row r="13" spans="1:4" x14ac:dyDescent="0.3">
      <c r="C13" s="1"/>
    </row>
    <row r="14" spans="1:4" x14ac:dyDescent="0.3">
      <c r="C14" s="1"/>
    </row>
    <row r="15" spans="1:4" x14ac:dyDescent="0.3">
      <c r="C15" s="1"/>
    </row>
    <row r="16" spans="1:4" x14ac:dyDescent="0.3">
      <c r="C16" s="1"/>
    </row>
    <row r="17" spans="3:3" x14ac:dyDescent="0.3">
      <c r="C17" s="1"/>
    </row>
    <row r="18" spans="3:3" x14ac:dyDescent="0.3">
      <c r="C18" s="1"/>
    </row>
    <row r="19" spans="3:3" x14ac:dyDescent="0.3">
      <c r="C19" s="1"/>
    </row>
  </sheetData>
  <sheetProtection algorithmName="SHA-512" hashValue="x9uPX68KN6SL11kqXG6PoiOUg0Fbq2xVC96+EJLQrbrDwFPr1IJf0uv1ixi6DGojICG3Tbq4XeBiLraeoDeeHA==" saltValue="04ixtG9PbkLbu6Vc9m4NdQ==" spinCount="100000" sheet="1" objects="1" scenarios="1"/>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6" tint="0.59999389629810485"/>
  </sheetPr>
  <dimension ref="A1:AC172"/>
  <sheetViews>
    <sheetView zoomScale="85" zoomScaleNormal="85" workbookViewId="0"/>
  </sheetViews>
  <sheetFormatPr defaultColWidth="9" defaultRowHeight="13.5" x14ac:dyDescent="0.3"/>
  <cols>
    <col min="1" max="1" width="50.15234375" customWidth="1"/>
    <col min="2" max="2" width="22.3046875" customWidth="1"/>
    <col min="3" max="3" width="25.69140625" customWidth="1"/>
    <col min="4" max="4" width="16.3828125" customWidth="1"/>
    <col min="5" max="5" width="15.84375" customWidth="1"/>
    <col min="6" max="6" width="16.15234375" customWidth="1"/>
    <col min="7" max="7" width="17.3828125" style="109" customWidth="1"/>
    <col min="8" max="8" width="18" hidden="1" customWidth="1"/>
    <col min="9" max="9" width="16.4609375" hidden="1" customWidth="1"/>
    <col min="10" max="10" width="19" hidden="1" customWidth="1"/>
    <col min="11" max="11" width="16.61328125" hidden="1" customWidth="1"/>
    <col min="12" max="12" width="19.765625" hidden="1" customWidth="1"/>
    <col min="13" max="13" width="18.23046875" hidden="1" customWidth="1"/>
    <col min="14" max="14" width="16.61328125" hidden="1" customWidth="1"/>
    <col min="15" max="19" width="20.61328125" hidden="1" customWidth="1"/>
    <col min="20" max="20" width="17" hidden="1" customWidth="1"/>
    <col min="21" max="21" width="17.15234375" hidden="1" customWidth="1"/>
    <col min="22" max="22" width="17.23046875" hidden="1" customWidth="1"/>
    <col min="23" max="23" width="15.765625" hidden="1" customWidth="1"/>
    <col min="24" max="25" width="15.61328125" hidden="1" customWidth="1"/>
    <col min="26" max="26" width="15.15234375" hidden="1" customWidth="1"/>
    <col min="27" max="27" width="13.4609375" hidden="1" customWidth="1"/>
    <col min="28" max="28" width="10.61328125" hidden="1" customWidth="1"/>
    <col min="29" max="29" width="10.15234375" style="42" hidden="1" customWidth="1"/>
    <col min="30" max="33" width="9" customWidth="1"/>
  </cols>
  <sheetData>
    <row r="1" spans="1:29" ht="17.5" x14ac:dyDescent="0.35">
      <c r="A1" s="661" t="s">
        <v>316</v>
      </c>
      <c r="B1" s="864" t="s">
        <v>326</v>
      </c>
      <c r="C1" s="865"/>
      <c r="D1" s="1"/>
      <c r="E1" s="1"/>
      <c r="F1" s="1"/>
      <c r="H1" s="302" t="s">
        <v>141</v>
      </c>
      <c r="I1" s="109"/>
    </row>
    <row r="2" spans="1:29" x14ac:dyDescent="0.3">
      <c r="C2" s="662"/>
      <c r="D2" s="1"/>
      <c r="E2" s="1"/>
      <c r="F2" s="1"/>
      <c r="H2" s="390" t="s">
        <v>224</v>
      </c>
      <c r="AB2" s="42"/>
      <c r="AC2"/>
    </row>
    <row r="3" spans="1:29" ht="19.5" x14ac:dyDescent="0.35">
      <c r="A3" s="663" t="s">
        <v>343</v>
      </c>
      <c r="F3" s="1"/>
      <c r="H3" s="390" t="s">
        <v>171</v>
      </c>
      <c r="AB3" s="42"/>
      <c r="AC3"/>
    </row>
    <row r="4" spans="1:29" ht="19.5" x14ac:dyDescent="0.35">
      <c r="A4" s="37"/>
      <c r="F4" s="1"/>
      <c r="H4" s="390"/>
      <c r="AB4" s="42"/>
      <c r="AC4"/>
    </row>
    <row r="5" spans="1:29" s="6" customFormat="1" ht="20.149999999999999" customHeight="1" x14ac:dyDescent="0.3">
      <c r="A5" s="615" t="s">
        <v>315</v>
      </c>
      <c r="B5" s="358" t="s">
        <v>555</v>
      </c>
      <c r="C5" s="135"/>
      <c r="D5" s="660"/>
      <c r="E5" s="660"/>
      <c r="F5" s="660"/>
      <c r="G5" s="241"/>
      <c r="H5" s="391" t="s">
        <v>172</v>
      </c>
      <c r="AB5" s="303"/>
    </row>
    <row r="6" spans="1:29" s="6" customFormat="1" ht="20.149999999999999" customHeight="1" x14ac:dyDescent="0.3">
      <c r="A6" s="168" t="s">
        <v>81</v>
      </c>
      <c r="B6" s="359">
        <v>104000000000000</v>
      </c>
      <c r="D6" s="304"/>
      <c r="E6" s="304"/>
      <c r="F6" s="304"/>
      <c r="G6" s="241"/>
      <c r="AC6" s="303"/>
    </row>
    <row r="7" spans="1:29" s="6" customFormat="1" ht="20.149999999999999" customHeight="1" x14ac:dyDescent="0.3">
      <c r="A7" s="168" t="s">
        <v>78</v>
      </c>
      <c r="B7" s="360" t="s">
        <v>70</v>
      </c>
      <c r="C7" s="659" t="s">
        <v>294</v>
      </c>
      <c r="D7" s="183"/>
      <c r="E7" s="183"/>
      <c r="F7" s="183"/>
      <c r="G7" s="241"/>
      <c r="AC7" s="303"/>
    </row>
    <row r="8" spans="1:29" s="6" customFormat="1" ht="23" customHeight="1" x14ac:dyDescent="0.3">
      <c r="A8" s="351" t="s">
        <v>292</v>
      </c>
      <c r="B8" s="360" t="s">
        <v>300</v>
      </c>
      <c r="G8" s="241"/>
      <c r="H8" s="135"/>
      <c r="I8" s="183"/>
      <c r="K8" s="241"/>
      <c r="L8" s="78"/>
      <c r="AC8" s="303"/>
    </row>
    <row r="9" spans="1:29" s="6" customFormat="1" ht="23" customHeight="1" x14ac:dyDescent="0.3">
      <c r="A9" s="351" t="s">
        <v>293</v>
      </c>
      <c r="B9" s="360" t="s">
        <v>554</v>
      </c>
      <c r="D9" s="183"/>
      <c r="E9" s="183"/>
      <c r="F9" s="183"/>
      <c r="G9" s="241"/>
      <c r="H9" s="135"/>
      <c r="AC9" s="303"/>
    </row>
    <row r="10" spans="1:29" s="6" customFormat="1" ht="20.149999999999999" customHeight="1" x14ac:dyDescent="0.3">
      <c r="A10" s="615" t="s">
        <v>310</v>
      </c>
      <c r="B10" s="361">
        <v>0</v>
      </c>
      <c r="D10" s="183"/>
      <c r="E10" s="183"/>
      <c r="F10" s="183"/>
      <c r="G10" s="241"/>
      <c r="AC10" s="303"/>
    </row>
    <row r="11" spans="1:29" s="6" customFormat="1" ht="26.25" customHeight="1" x14ac:dyDescent="0.3">
      <c r="A11" s="351" t="s">
        <v>441</v>
      </c>
      <c r="B11" s="658">
        <f>B10/90*100</f>
        <v>0</v>
      </c>
      <c r="C11" s="135"/>
      <c r="D11" s="183"/>
      <c r="E11" s="183"/>
      <c r="F11" s="183"/>
      <c r="G11" s="241"/>
      <c r="H11" s="135"/>
      <c r="I11" s="183"/>
      <c r="K11" s="241"/>
      <c r="AC11" s="303"/>
    </row>
    <row r="12" spans="1:29" s="6" customFormat="1" ht="20.149999999999999" customHeight="1" x14ac:dyDescent="0.3">
      <c r="A12" s="615" t="s">
        <v>311</v>
      </c>
      <c r="B12" s="359">
        <v>2025</v>
      </c>
      <c r="C12" s="656" t="s">
        <v>510</v>
      </c>
      <c r="D12" s="657"/>
      <c r="E12" s="657"/>
      <c r="F12" s="657"/>
      <c r="G12" s="653"/>
      <c r="AC12" s="303"/>
    </row>
    <row r="13" spans="1:29" s="6" customFormat="1" ht="20.149999999999999" customHeight="1" x14ac:dyDescent="0.3">
      <c r="A13" s="615" t="s">
        <v>312</v>
      </c>
      <c r="B13" s="360">
        <v>100</v>
      </c>
      <c r="D13" s="183"/>
      <c r="E13" s="183"/>
      <c r="F13" s="183"/>
      <c r="G13" s="241"/>
      <c r="AC13" s="303"/>
    </row>
    <row r="14" spans="1:29" s="6" customFormat="1" ht="20.149999999999999" customHeight="1" x14ac:dyDescent="0.3">
      <c r="A14" s="615" t="s">
        <v>313</v>
      </c>
      <c r="B14" s="362">
        <v>45775</v>
      </c>
      <c r="C14" s="654"/>
      <c r="D14" s="655"/>
      <c r="E14" s="655"/>
      <c r="F14" s="655"/>
      <c r="G14" s="653"/>
      <c r="AC14" s="303"/>
    </row>
    <row r="15" spans="1:29" s="6" customFormat="1" ht="20.149999999999999" customHeight="1" x14ac:dyDescent="0.3">
      <c r="A15" s="615" t="s">
        <v>314</v>
      </c>
      <c r="B15" s="358" t="s">
        <v>603</v>
      </c>
      <c r="C15" s="256"/>
      <c r="D15" s="652"/>
      <c r="E15" s="652"/>
      <c r="F15" s="652"/>
      <c r="G15" s="653"/>
      <c r="AC15" s="303"/>
    </row>
    <row r="16" spans="1:29" s="6" customFormat="1" ht="20.149999999999999" customHeight="1" x14ac:dyDescent="0.3">
      <c r="A16" s="168" t="s">
        <v>277</v>
      </c>
      <c r="B16" s="360" t="s">
        <v>288</v>
      </c>
      <c r="C16" s="135"/>
      <c r="D16" s="183"/>
      <c r="E16" s="183"/>
      <c r="F16" s="183"/>
      <c r="G16" s="241"/>
      <c r="H16" s="135"/>
      <c r="AC16" s="303"/>
    </row>
    <row r="17" spans="1:29" s="183" customFormat="1" ht="28.5" customHeight="1" x14ac:dyDescent="0.3">
      <c r="A17" s="160" t="s">
        <v>278</v>
      </c>
      <c r="B17" s="363" t="s">
        <v>300</v>
      </c>
      <c r="C17" s="304"/>
      <c r="G17" s="228"/>
      <c r="H17" s="304"/>
      <c r="AC17" s="350"/>
    </row>
    <row r="18" spans="1:29" s="6" customFormat="1" x14ac:dyDescent="0.3">
      <c r="A18" s="276"/>
      <c r="C18" s="135"/>
      <c r="D18" s="183"/>
      <c r="E18" s="183"/>
      <c r="F18" s="183"/>
      <c r="G18" s="241"/>
      <c r="H18" s="135"/>
      <c r="AC18" s="303"/>
    </row>
    <row r="19" spans="1:29" s="6" customFormat="1" ht="19.5" x14ac:dyDescent="0.3">
      <c r="A19" s="605" t="s">
        <v>442</v>
      </c>
      <c r="C19" s="135"/>
      <c r="D19" s="183"/>
      <c r="E19" s="183"/>
      <c r="F19" s="183"/>
      <c r="G19" s="241"/>
      <c r="H19" s="135"/>
      <c r="AC19" s="303"/>
    </row>
    <row r="20" spans="1:29" s="6" customFormat="1" ht="19.5" customHeight="1" x14ac:dyDescent="0.3">
      <c r="A20" s="276"/>
      <c r="D20" s="183"/>
      <c r="E20" s="183"/>
      <c r="F20" s="183"/>
      <c r="G20" s="241"/>
      <c r="H20" s="218" t="s">
        <v>296</v>
      </c>
      <c r="AC20" s="303"/>
    </row>
    <row r="21" spans="1:29" s="6" customFormat="1" x14ac:dyDescent="0.3">
      <c r="A21" s="276" t="s">
        <v>344</v>
      </c>
      <c r="D21" s="183"/>
      <c r="E21" s="183"/>
      <c r="F21" s="183"/>
      <c r="G21" s="241"/>
      <c r="H21" s="305">
        <v>34465</v>
      </c>
      <c r="AC21" s="303"/>
    </row>
    <row r="22" spans="1:29" s="6" customFormat="1" ht="20.149999999999999" customHeight="1" x14ac:dyDescent="0.3">
      <c r="A22" s="615" t="s">
        <v>320</v>
      </c>
      <c r="B22" s="619" t="s">
        <v>295</v>
      </c>
      <c r="C22" s="647" t="s">
        <v>443</v>
      </c>
      <c r="D22" s="648"/>
      <c r="E22" s="648"/>
      <c r="F22" s="649"/>
      <c r="G22" s="241"/>
      <c r="H22" s="305">
        <f>IF(B10&lt;=10,'Cost Data'!C3,'Cost Data'!C4*B10)</f>
        <v>1695</v>
      </c>
      <c r="I22" s="306">
        <f>IF(H22&gt;H21,H21,H22)</f>
        <v>1695</v>
      </c>
      <c r="AC22" s="303"/>
    </row>
    <row r="23" spans="1:29" s="6" customFormat="1" ht="20.149999999999999" customHeight="1" x14ac:dyDescent="0.3">
      <c r="A23" s="590"/>
      <c r="B23" s="650"/>
      <c r="C23" s="651"/>
      <c r="D23" s="183"/>
      <c r="E23" s="183"/>
      <c r="F23" s="183"/>
      <c r="G23" s="241"/>
      <c r="H23" s="135"/>
      <c r="AC23" s="303"/>
    </row>
    <row r="24" spans="1:29" s="135" customFormat="1" ht="20.25" customHeight="1" x14ac:dyDescent="0.3">
      <c r="A24" s="276" t="s">
        <v>345</v>
      </c>
      <c r="D24" s="304"/>
      <c r="E24" s="304"/>
      <c r="F24" s="304"/>
      <c r="G24" s="78"/>
      <c r="AC24" s="338"/>
    </row>
    <row r="25" spans="1:29" s="6" customFormat="1" ht="27" customHeight="1" x14ac:dyDescent="0.3">
      <c r="A25" s="640" t="s">
        <v>173</v>
      </c>
      <c r="B25" s="612" t="s">
        <v>321</v>
      </c>
      <c r="C25" s="606" t="s">
        <v>279</v>
      </c>
      <c r="D25" s="276"/>
      <c r="E25" s="276"/>
      <c r="F25" s="276"/>
      <c r="G25" s="241"/>
      <c r="H25" s="141" t="s">
        <v>174</v>
      </c>
      <c r="I25" s="141" t="s">
        <v>169</v>
      </c>
      <c r="K25" s="135"/>
      <c r="AC25" s="303"/>
    </row>
    <row r="26" spans="1:29" s="6" customFormat="1" ht="20.149999999999999" customHeight="1" x14ac:dyDescent="0.3">
      <c r="A26" s="615" t="s">
        <v>308</v>
      </c>
      <c r="B26" s="357">
        <v>0</v>
      </c>
      <c r="C26" s="861" t="s">
        <v>559</v>
      </c>
      <c r="G26" s="241"/>
      <c r="H26" s="307">
        <f>B26*'Cost Data'!C29</f>
        <v>0</v>
      </c>
      <c r="I26" s="307">
        <f>B26*'Cost Data'!$C$41</f>
        <v>0</v>
      </c>
      <c r="K26" s="135"/>
      <c r="AC26" s="303"/>
    </row>
    <row r="27" spans="1:29" s="6" customFormat="1" ht="20.149999999999999" customHeight="1" x14ac:dyDescent="0.3">
      <c r="A27" s="645" t="s">
        <v>309</v>
      </c>
      <c r="B27" s="792">
        <v>0</v>
      </c>
      <c r="C27" s="862"/>
      <c r="G27" s="241"/>
      <c r="H27" s="307">
        <f>IF(B27&lt;=1585,'Cost Data'!C30*B27,'Cost Data'!C30*1585+(B27-1585)*'Cost Data'!C31)</f>
        <v>0</v>
      </c>
      <c r="I27" s="307">
        <f>B27*'Cost Data'!$C$41</f>
        <v>0</v>
      </c>
      <c r="K27" s="135"/>
      <c r="AC27" s="303"/>
    </row>
    <row r="28" spans="1:29" s="6" customFormat="1" ht="20.149999999999999" customHeight="1" x14ac:dyDescent="0.3">
      <c r="A28" s="168" t="s">
        <v>231</v>
      </c>
      <c r="B28" s="357">
        <v>0</v>
      </c>
      <c r="C28" s="862"/>
      <c r="G28" s="241"/>
      <c r="H28" s="307">
        <f>B28*'Cost Data'!C35</f>
        <v>0</v>
      </c>
      <c r="I28" s="307">
        <f>B28*'Cost Data'!C41</f>
        <v>0</v>
      </c>
      <c r="K28" s="135"/>
      <c r="AC28" s="303"/>
    </row>
    <row r="29" spans="1:29" s="6" customFormat="1" ht="20.149999999999999" customHeight="1" x14ac:dyDescent="0.3">
      <c r="A29" s="615" t="s">
        <v>90</v>
      </c>
      <c r="B29" s="357">
        <v>0</v>
      </c>
      <c r="C29" s="862"/>
      <c r="D29" s="590"/>
      <c r="E29" s="135"/>
      <c r="F29" s="135"/>
      <c r="G29" s="241"/>
      <c r="H29" s="307">
        <f>B29*'Cost Data'!C32</f>
        <v>0</v>
      </c>
      <c r="I29" s="309"/>
      <c r="K29" s="135"/>
      <c r="AC29" s="303"/>
    </row>
    <row r="30" spans="1:29" s="6" customFormat="1" ht="20.149999999999999" customHeight="1" x14ac:dyDescent="0.3">
      <c r="A30" s="640" t="s">
        <v>569</v>
      </c>
      <c r="B30" s="646">
        <f>B26+B27+B28</f>
        <v>0</v>
      </c>
      <c r="C30" s="863"/>
      <c r="D30" s="590"/>
      <c r="E30" s="135"/>
      <c r="F30" s="135"/>
      <c r="G30" s="241"/>
      <c r="H30" s="307"/>
      <c r="I30" s="309"/>
      <c r="K30" s="135"/>
      <c r="AC30" s="303"/>
    </row>
    <row r="31" spans="1:29" s="6" customFormat="1" ht="20.149999999999999" customHeight="1" x14ac:dyDescent="0.3">
      <c r="A31" s="615" t="s">
        <v>328</v>
      </c>
      <c r="B31" s="357">
        <v>0</v>
      </c>
      <c r="C31" s="644">
        <f>IF(B32&lt;=C32,40*B10-B32,0)</f>
        <v>0</v>
      </c>
      <c r="D31" s="856" t="s">
        <v>329</v>
      </c>
      <c r="E31" s="857"/>
      <c r="F31" s="135"/>
      <c r="G31" s="241"/>
      <c r="H31" s="307">
        <f>'Cost Data'!C37*B31</f>
        <v>0</v>
      </c>
      <c r="I31" s="307">
        <f>B31*'Cost Data'!C43</f>
        <v>0</v>
      </c>
      <c r="J31" s="135"/>
      <c r="K31" s="135"/>
      <c r="AC31" s="303"/>
    </row>
    <row r="32" spans="1:29" s="6" customFormat="1" ht="20.149999999999999" customHeight="1" x14ac:dyDescent="0.3">
      <c r="A32" s="615" t="s">
        <v>327</v>
      </c>
      <c r="B32" s="357">
        <v>0</v>
      </c>
      <c r="C32" s="643">
        <f>20*B10</f>
        <v>0</v>
      </c>
      <c r="D32" s="856" t="s">
        <v>330</v>
      </c>
      <c r="E32" s="866"/>
      <c r="F32" s="135"/>
      <c r="G32" s="241"/>
      <c r="H32" s="307">
        <f>B32*'Cost Data'!C36</f>
        <v>0</v>
      </c>
      <c r="I32" s="307">
        <f>B32*'Cost Data'!C42</f>
        <v>0</v>
      </c>
      <c r="K32" s="135"/>
      <c r="L32" s="249"/>
      <c r="AC32" s="303"/>
    </row>
    <row r="33" spans="1:29" s="6" customFormat="1" ht="20.149999999999999" customHeight="1" x14ac:dyDescent="0.3">
      <c r="A33" s="640" t="s">
        <v>202</v>
      </c>
      <c r="B33" s="612" t="s">
        <v>201</v>
      </c>
      <c r="C33" s="642"/>
      <c r="D33" s="276"/>
      <c r="E33" s="276"/>
      <c r="G33" s="241"/>
      <c r="H33" s="308" t="s">
        <v>252</v>
      </c>
      <c r="I33" s="308" t="s">
        <v>253</v>
      </c>
      <c r="J33" s="310"/>
      <c r="K33" s="135"/>
      <c r="AC33" s="303"/>
    </row>
    <row r="34" spans="1:29" s="6" customFormat="1" ht="20.149999999999999" customHeight="1" x14ac:dyDescent="0.3">
      <c r="A34" s="168" t="str">
        <f>'Cost Data'!B33</f>
        <v>Vehicle access gates</v>
      </c>
      <c r="B34" s="357">
        <v>0</v>
      </c>
      <c r="C34" s="641"/>
      <c r="D34" s="135"/>
      <c r="E34" s="135"/>
      <c r="G34" s="241"/>
      <c r="H34" s="307">
        <f>B34*'Cost Data'!C33</f>
        <v>0</v>
      </c>
      <c r="I34" s="307">
        <f>B34*'Cost Data'!C44</f>
        <v>0</v>
      </c>
      <c r="K34" s="135"/>
      <c r="AC34" s="303"/>
    </row>
    <row r="35" spans="1:29" s="6" customFormat="1" ht="20.149999999999999" customHeight="1" x14ac:dyDescent="0.3">
      <c r="A35" s="168" t="str">
        <f>'Cost Data'!B34</f>
        <v>Pedestrian gates</v>
      </c>
      <c r="B35" s="357">
        <v>0</v>
      </c>
      <c r="C35" s="388"/>
      <c r="D35" s="135"/>
      <c r="E35" s="135"/>
      <c r="G35" s="241"/>
      <c r="H35" s="307">
        <f>B35*'Cost Data'!C34</f>
        <v>0</v>
      </c>
      <c r="I35" s="307">
        <f>B35*'Cost Data'!C45</f>
        <v>0</v>
      </c>
      <c r="K35" s="135"/>
      <c r="AC35" s="303"/>
    </row>
    <row r="36" spans="1:29" s="6" customFormat="1" ht="20.149999999999999" customHeight="1" x14ac:dyDescent="0.3">
      <c r="A36" s="640" t="s">
        <v>248</v>
      </c>
      <c r="B36" s="640"/>
      <c r="C36" s="612" t="s">
        <v>142</v>
      </c>
      <c r="D36" s="301"/>
      <c r="E36" s="301"/>
      <c r="G36" s="241"/>
      <c r="H36" s="133" t="s">
        <v>252</v>
      </c>
      <c r="I36" s="311"/>
      <c r="K36" s="135"/>
      <c r="AC36" s="303"/>
    </row>
    <row r="37" spans="1:29" s="6" customFormat="1" ht="20.149999999999999" customHeight="1" x14ac:dyDescent="0.3">
      <c r="A37" s="615" t="s">
        <v>280</v>
      </c>
      <c r="B37" s="360" t="s">
        <v>300</v>
      </c>
      <c r="C37" s="360">
        <v>0</v>
      </c>
      <c r="D37" s="856" t="s">
        <v>331</v>
      </c>
      <c r="E37" s="857"/>
      <c r="F37" s="857"/>
      <c r="G37" s="78"/>
      <c r="H37" s="312">
        <f>IF(B37="Yes",C37*'Cost Data'!C26,0)</f>
        <v>0</v>
      </c>
      <c r="AC37" s="303"/>
    </row>
    <row r="38" spans="1:29" s="6" customFormat="1" ht="15" customHeight="1" x14ac:dyDescent="0.3">
      <c r="A38" s="353"/>
      <c r="C38" s="387"/>
      <c r="D38" s="590"/>
      <c r="E38" s="590"/>
      <c r="G38" s="241"/>
      <c r="H38" s="183"/>
      <c r="J38" s="135"/>
      <c r="K38" s="135"/>
      <c r="AC38" s="303"/>
    </row>
    <row r="39" spans="1:29" s="6" customFormat="1" ht="15" customHeight="1" x14ac:dyDescent="0.3">
      <c r="A39" s="636" t="s">
        <v>346</v>
      </c>
      <c r="B39" s="135"/>
      <c r="G39" s="241"/>
      <c r="H39" s="183"/>
      <c r="J39" s="135"/>
      <c r="K39" s="135"/>
      <c r="AC39" s="303"/>
    </row>
    <row r="40" spans="1:29" s="6" customFormat="1" ht="20.149999999999999" customHeight="1" x14ac:dyDescent="0.3">
      <c r="A40" s="637"/>
      <c r="B40" s="638" t="s">
        <v>142</v>
      </c>
      <c r="C40" s="135"/>
      <c r="G40" s="241"/>
      <c r="H40" s="313" t="s">
        <v>220</v>
      </c>
      <c r="J40" s="135"/>
      <c r="K40" s="135"/>
      <c r="AC40" s="303"/>
    </row>
    <row r="41" spans="1:29" s="6" customFormat="1" ht="20.149999999999999" customHeight="1" x14ac:dyDescent="0.3">
      <c r="A41" s="634" t="s">
        <v>166</v>
      </c>
      <c r="B41" s="364">
        <v>0</v>
      </c>
      <c r="C41" s="135"/>
      <c r="G41" s="241"/>
      <c r="H41" s="313"/>
      <c r="J41" s="135"/>
      <c r="K41" s="135"/>
      <c r="AC41" s="303"/>
    </row>
    <row r="42" spans="1:29" s="6" customFormat="1" ht="20.149999999999999" customHeight="1" x14ac:dyDescent="0.3">
      <c r="A42" s="634" t="str">
        <f>'Cost Data'!B5</f>
        <v>Scrub control &lt; 7cm dbh</v>
      </c>
      <c r="B42" s="364">
        <v>0</v>
      </c>
      <c r="C42" s="135"/>
      <c r="G42" s="241"/>
      <c r="H42" s="314">
        <f>B42*'Cost Data'!C5</f>
        <v>0</v>
      </c>
      <c r="J42" s="135"/>
      <c r="K42" s="135"/>
      <c r="AC42" s="303"/>
    </row>
    <row r="43" spans="1:29" s="6" customFormat="1" ht="20.149999999999999" customHeight="1" x14ac:dyDescent="0.3">
      <c r="A43" s="634" t="str">
        <f>'Cost Data'!B6</f>
        <v>Bracken control</v>
      </c>
      <c r="B43" s="364">
        <v>0</v>
      </c>
      <c r="C43" s="135"/>
      <c r="G43" s="241"/>
      <c r="H43" s="314">
        <f>B43*'Cost Data'!C6</f>
        <v>0</v>
      </c>
      <c r="J43" s="135"/>
      <c r="K43" s="135"/>
      <c r="AC43" s="303"/>
    </row>
    <row r="44" spans="1:29" s="6" customFormat="1" ht="20.149999999999999" customHeight="1" thickBot="1" x14ac:dyDescent="0.35">
      <c r="A44" s="633" t="str">
        <f>'Cost Data'!B7</f>
        <v>Gorse removal</v>
      </c>
      <c r="B44" s="365">
        <v>0</v>
      </c>
      <c r="C44" s="135"/>
      <c r="G44" s="241"/>
      <c r="H44" s="314">
        <f>B44*'Cost Data'!C7</f>
        <v>0</v>
      </c>
      <c r="J44" s="135"/>
      <c r="K44" s="135"/>
      <c r="AC44" s="303"/>
    </row>
    <row r="45" spans="1:29" s="6" customFormat="1" ht="20.149999999999999" customHeight="1" thickTop="1" thickBot="1" x14ac:dyDescent="0.35">
      <c r="A45" s="635" t="s">
        <v>7</v>
      </c>
      <c r="B45" s="630">
        <f>SUM(B41:B44)</f>
        <v>0</v>
      </c>
      <c r="C45" s="631" t="s">
        <v>332</v>
      </c>
      <c r="G45" s="241"/>
      <c r="H45" s="315">
        <f>SUM(H42:H44)</f>
        <v>0</v>
      </c>
      <c r="J45" s="135"/>
      <c r="K45" s="135"/>
      <c r="AC45" s="303"/>
    </row>
    <row r="46" spans="1:29" s="6" customFormat="1" ht="15" customHeight="1" thickTop="1" x14ac:dyDescent="0.3">
      <c r="A46" s="229"/>
      <c r="G46" s="241"/>
      <c r="H46" s="183"/>
      <c r="J46" s="135"/>
      <c r="K46" s="135"/>
      <c r="AC46" s="303"/>
    </row>
    <row r="47" spans="1:29" s="6" customFormat="1" ht="15.75" customHeight="1" x14ac:dyDescent="0.3">
      <c r="A47" s="636" t="s">
        <v>354</v>
      </c>
      <c r="B47" s="135"/>
      <c r="G47" s="241"/>
      <c r="H47" s="141" t="s">
        <v>174</v>
      </c>
      <c r="I47" s="308" t="s">
        <v>253</v>
      </c>
      <c r="AC47" s="303"/>
    </row>
    <row r="48" spans="1:29" s="6" customFormat="1" ht="20.149999999999999" customHeight="1" x14ac:dyDescent="0.3">
      <c r="A48" s="637"/>
      <c r="B48" s="638" t="s">
        <v>142</v>
      </c>
      <c r="C48" s="639"/>
      <c r="D48" s="639"/>
      <c r="E48" s="639"/>
      <c r="G48" s="241"/>
      <c r="H48" s="316" t="s">
        <v>168</v>
      </c>
      <c r="I48" s="317"/>
      <c r="AC48" s="303"/>
    </row>
    <row r="49" spans="1:29" s="6" customFormat="1" ht="20.149999999999999" customHeight="1" x14ac:dyDescent="0.3">
      <c r="A49" s="634" t="s">
        <v>166</v>
      </c>
      <c r="B49" s="364">
        <v>0</v>
      </c>
      <c r="C49" s="632"/>
      <c r="D49" s="632"/>
      <c r="E49" s="632"/>
      <c r="G49" s="241"/>
      <c r="H49" s="307">
        <f>B49*'Cost Data'!C8</f>
        <v>0</v>
      </c>
      <c r="I49" s="241"/>
      <c r="AC49" s="303"/>
    </row>
    <row r="50" spans="1:29" s="6" customFormat="1" ht="20.149999999999999" customHeight="1" x14ac:dyDescent="0.3">
      <c r="A50" s="634" t="s">
        <v>143</v>
      </c>
      <c r="B50" s="364">
        <v>0</v>
      </c>
      <c r="C50" s="632"/>
      <c r="D50" s="632"/>
      <c r="E50" s="632"/>
      <c r="G50" s="241"/>
      <c r="H50" s="307">
        <f>B50*'Cost Data'!C9</f>
        <v>0</v>
      </c>
      <c r="I50" s="241"/>
      <c r="AC50" s="303"/>
    </row>
    <row r="51" spans="1:29" s="6" customFormat="1" ht="20.149999999999999" customHeight="1" x14ac:dyDescent="0.3">
      <c r="A51" s="634" t="s">
        <v>144</v>
      </c>
      <c r="B51" s="364">
        <v>0</v>
      </c>
      <c r="C51" s="632"/>
      <c r="D51" s="632"/>
      <c r="E51" s="632"/>
      <c r="G51" s="241"/>
      <c r="H51" s="307">
        <f>B51*'Cost Data'!C10</f>
        <v>0</v>
      </c>
      <c r="I51" s="241"/>
      <c r="AC51" s="303"/>
    </row>
    <row r="52" spans="1:29" s="6" customFormat="1" ht="20.149999999999999" customHeight="1" x14ac:dyDescent="0.3">
      <c r="A52" s="634" t="s">
        <v>145</v>
      </c>
      <c r="B52" s="364">
        <v>0</v>
      </c>
      <c r="C52" s="632"/>
      <c r="D52" s="632"/>
      <c r="E52" s="632"/>
      <c r="G52" s="241"/>
      <c r="H52" s="307">
        <f>B52*'Cost Data'!C11</f>
        <v>0</v>
      </c>
      <c r="I52" s="241"/>
      <c r="AC52" s="303"/>
    </row>
    <row r="53" spans="1:29" s="6" customFormat="1" ht="20.149999999999999" customHeight="1" thickBot="1" x14ac:dyDescent="0.35">
      <c r="A53" s="633" t="s">
        <v>146</v>
      </c>
      <c r="B53" s="365">
        <v>0</v>
      </c>
      <c r="C53" s="632"/>
      <c r="D53" s="632"/>
      <c r="E53" s="632"/>
      <c r="G53" s="241"/>
      <c r="H53" s="307">
        <f>B53*'Cost Data'!C12</f>
        <v>0</v>
      </c>
      <c r="I53" s="241"/>
      <c r="AC53" s="303"/>
    </row>
    <row r="54" spans="1:29" s="6" customFormat="1" ht="20.149999999999999" customHeight="1" thickTop="1" thickBot="1" x14ac:dyDescent="0.35">
      <c r="A54" s="629" t="s">
        <v>7</v>
      </c>
      <c r="B54" s="630">
        <f>SUM(B49:B53)</f>
        <v>0</v>
      </c>
      <c r="C54" s="631" t="s">
        <v>332</v>
      </c>
      <c r="D54" s="632"/>
      <c r="E54" s="632"/>
      <c r="G54" s="241"/>
      <c r="H54" s="318">
        <f>SUM(H49:H53)</f>
        <v>0</v>
      </c>
      <c r="I54" s="319"/>
      <c r="AC54" s="303"/>
    </row>
    <row r="55" spans="1:29" s="6" customFormat="1" ht="20.149999999999999" customHeight="1" thickTop="1" x14ac:dyDescent="0.3">
      <c r="A55" s="628" t="s">
        <v>147</v>
      </c>
      <c r="B55" s="369">
        <v>0</v>
      </c>
      <c r="C55" s="626"/>
      <c r="D55" s="627"/>
      <c r="E55" s="627"/>
      <c r="G55" s="241"/>
      <c r="H55" s="307">
        <f>B55*'Cost Data'!C13</f>
        <v>0</v>
      </c>
      <c r="I55" s="307">
        <f>B55*'Cost Data'!C40</f>
        <v>0</v>
      </c>
      <c r="J55" s="135"/>
      <c r="AC55" s="303"/>
    </row>
    <row r="56" spans="1:29" s="6" customFormat="1" x14ac:dyDescent="0.3">
      <c r="B56" s="135"/>
      <c r="D56" s="135"/>
      <c r="E56" s="135"/>
      <c r="G56" s="241"/>
      <c r="AC56" s="303"/>
    </row>
    <row r="57" spans="1:29" s="6" customFormat="1" ht="20.5" customHeight="1" x14ac:dyDescent="0.3">
      <c r="A57" s="276" t="s">
        <v>347</v>
      </c>
      <c r="D57" s="625"/>
      <c r="E57" s="625"/>
      <c r="F57" s="608"/>
      <c r="G57" s="241"/>
      <c r="AC57" s="303"/>
    </row>
    <row r="58" spans="1:29" s="183" customFormat="1" ht="92.5" customHeight="1" x14ac:dyDescent="0.3">
      <c r="A58" s="218" t="s">
        <v>79</v>
      </c>
      <c r="B58" s="216" t="s">
        <v>334</v>
      </c>
      <c r="C58" s="216" t="s">
        <v>570</v>
      </c>
      <c r="D58" s="216" t="s">
        <v>571</v>
      </c>
      <c r="E58" s="216" t="s">
        <v>572</v>
      </c>
      <c r="F58" s="320" t="s">
        <v>307</v>
      </c>
      <c r="G58" s="320" t="s">
        <v>335</v>
      </c>
      <c r="H58" s="323" t="s">
        <v>122</v>
      </c>
      <c r="I58" s="218" t="s">
        <v>105</v>
      </c>
      <c r="J58" s="214" t="s">
        <v>123</v>
      </c>
      <c r="K58" s="321" t="s">
        <v>121</v>
      </c>
      <c r="L58" s="322"/>
      <c r="M58" s="321" t="s">
        <v>107</v>
      </c>
      <c r="N58" s="321" t="s">
        <v>108</v>
      </c>
      <c r="O58" s="321" t="s">
        <v>109</v>
      </c>
      <c r="P58" s="321"/>
      <c r="Q58" s="321" t="s">
        <v>117</v>
      </c>
      <c r="R58" s="321" t="s">
        <v>177</v>
      </c>
      <c r="S58" s="321" t="s">
        <v>175</v>
      </c>
      <c r="T58" s="321" t="s">
        <v>176</v>
      </c>
      <c r="U58" s="321" t="s">
        <v>116</v>
      </c>
      <c r="V58" s="321" t="s">
        <v>111</v>
      </c>
      <c r="W58" s="321" t="s">
        <v>110</v>
      </c>
      <c r="X58" s="321" t="s">
        <v>302</v>
      </c>
      <c r="Y58" s="321" t="s">
        <v>303</v>
      </c>
      <c r="Z58" s="321" t="s">
        <v>287</v>
      </c>
      <c r="AA58" s="323" t="s">
        <v>167</v>
      </c>
      <c r="AB58" s="320" t="s">
        <v>219</v>
      </c>
      <c r="AC58" s="473" t="s">
        <v>97</v>
      </c>
    </row>
    <row r="59" spans="1:29" s="6" customFormat="1" ht="20.149999999999999" customHeight="1" x14ac:dyDescent="0.3">
      <c r="A59" s="477" t="s">
        <v>573</v>
      </c>
      <c r="B59" s="361">
        <v>0</v>
      </c>
      <c r="C59" s="367">
        <v>2</v>
      </c>
      <c r="D59" s="368">
        <v>0</v>
      </c>
      <c r="E59" s="368">
        <v>0</v>
      </c>
      <c r="F59" s="368">
        <v>0</v>
      </c>
      <c r="G59" s="368">
        <v>0</v>
      </c>
      <c r="H59" s="324">
        <f>B59*'Income Data'!E5</f>
        <v>0</v>
      </c>
      <c r="I59" s="325">
        <f>H59*'Income Data'!F5</f>
        <v>0</v>
      </c>
      <c r="J59" s="325" t="e">
        <f>I59/B59</f>
        <v>#DIV/0!</v>
      </c>
      <c r="K59" s="326">
        <f>IF(B13&gt;38,IF(B13&gt;76,(B13-76)/38*I59,(B13-38)/38*I59),0)</f>
        <v>0</v>
      </c>
      <c r="L59" s="229"/>
      <c r="M59" s="327">
        <f>B59*(100/C59)^2</f>
        <v>0</v>
      </c>
      <c r="N59" s="241">
        <f>M59*'Cost Data'!C14</f>
        <v>0</v>
      </c>
      <c r="O59" s="241">
        <f>M59*'Cost Data'!C17</f>
        <v>0</v>
      </c>
      <c r="P59" s="241"/>
      <c r="Q59" s="241">
        <f>SUM(N59:O59)</f>
        <v>0</v>
      </c>
      <c r="R59" s="241">
        <f>$B59*'Cost Data'!$C$27*3</f>
        <v>0</v>
      </c>
      <c r="S59" s="241">
        <f>$B59*'Cost Data'!$C$27*2</f>
        <v>0</v>
      </c>
      <c r="T59" s="241">
        <f>$B59*'Cost Data'!$C$27</f>
        <v>0</v>
      </c>
      <c r="U59" s="241">
        <f>0.15*Q59</f>
        <v>0</v>
      </c>
      <c r="V59" s="241">
        <f>0.1*Q59</f>
        <v>0</v>
      </c>
      <c r="W59" s="241">
        <f>0.05*Q59</f>
        <v>0</v>
      </c>
      <c r="X59" s="241">
        <f>M59*D59*'Cost Data'!C$21</f>
        <v>0</v>
      </c>
      <c r="Y59" s="241">
        <f>M59*E59*'Cost Data'!C$22</f>
        <v>0</v>
      </c>
      <c r="Z59" s="241">
        <f>M59*(D59+E59+(F59/2))*'Cost Data'!C$23</f>
        <v>0</v>
      </c>
      <c r="AA59" s="199">
        <f>B59*'Cost Data'!C11</f>
        <v>0</v>
      </c>
      <c r="AB59" s="241">
        <f>M59*F59*'Cost Data'!C$24</f>
        <v>0</v>
      </c>
      <c r="AC59" s="241">
        <f>M59*G59*'Cost Data'!$C$20</f>
        <v>0</v>
      </c>
    </row>
    <row r="60" spans="1:29" s="6" customFormat="1" ht="20.149999999999999" customHeight="1" x14ac:dyDescent="0.3">
      <c r="A60" s="813" t="s">
        <v>281</v>
      </c>
      <c r="B60" s="361">
        <v>0</v>
      </c>
      <c r="C60" s="367">
        <v>2</v>
      </c>
      <c r="D60" s="368">
        <v>0</v>
      </c>
      <c r="E60" s="368">
        <v>0</v>
      </c>
      <c r="F60" s="368">
        <v>0</v>
      </c>
      <c r="G60" s="368">
        <v>0</v>
      </c>
      <c r="H60" s="324">
        <f>B60*'Income Data'!E6</f>
        <v>0</v>
      </c>
      <c r="I60" s="325">
        <f>H60*'Income Data'!F6</f>
        <v>0</v>
      </c>
      <c r="J60" s="325" t="e">
        <f>I60/B60</f>
        <v>#DIV/0!</v>
      </c>
      <c r="K60" s="326">
        <f>IF(B13&gt;=76,(B13-76)/76*I60,B13/76*I60)</f>
        <v>0</v>
      </c>
      <c r="L60" s="229"/>
      <c r="M60" s="327">
        <f>B60*(100/C60)^2</f>
        <v>0</v>
      </c>
      <c r="N60" s="241">
        <f>M60*'Cost Data'!C15</f>
        <v>0</v>
      </c>
      <c r="O60" s="241">
        <f>M60*'Cost Data'!C18</f>
        <v>0</v>
      </c>
      <c r="P60" s="241"/>
      <c r="Q60" s="241">
        <f>SUM(N60:O60)</f>
        <v>0</v>
      </c>
      <c r="R60" s="241">
        <f>$B60*'Cost Data'!$C$27*3</f>
        <v>0</v>
      </c>
      <c r="S60" s="241">
        <f>$B60*'Cost Data'!$C$27*2</f>
        <v>0</v>
      </c>
      <c r="T60" s="241">
        <f>$B60*'Cost Data'!$C$27</f>
        <v>0</v>
      </c>
      <c r="U60" s="241">
        <f>0.15*Q60</f>
        <v>0</v>
      </c>
      <c r="V60" s="241">
        <f>0.1*Q60</f>
        <v>0</v>
      </c>
      <c r="W60" s="241">
        <f>0.05*Q60</f>
        <v>0</v>
      </c>
      <c r="X60" s="241">
        <f>M60*D60*'Cost Data'!C$21</f>
        <v>0</v>
      </c>
      <c r="Y60" s="241">
        <f>M60*E60*'Cost Data'!C$22</f>
        <v>0</v>
      </c>
      <c r="Z60" s="241">
        <f>M60*(D60+E60+(F60/2))*'Cost Data'!C$23</f>
        <v>0</v>
      </c>
      <c r="AA60" s="199">
        <f>B60*'Cost Data'!C11</f>
        <v>0</v>
      </c>
      <c r="AB60" s="241">
        <f>M60*F60*'Cost Data'!C$24</f>
        <v>0</v>
      </c>
      <c r="AC60" s="241">
        <f>M60*G60*'Cost Data'!$C$20</f>
        <v>0</v>
      </c>
    </row>
    <row r="61" spans="1:29" s="6" customFormat="1" ht="20.149999999999999" customHeight="1" x14ac:dyDescent="0.3">
      <c r="A61" s="86" t="s">
        <v>270</v>
      </c>
      <c r="B61" s="361">
        <v>0</v>
      </c>
      <c r="C61" s="367">
        <v>2</v>
      </c>
      <c r="D61" s="368">
        <v>0</v>
      </c>
      <c r="E61" s="368">
        <v>0</v>
      </c>
      <c r="F61" s="368">
        <v>0</v>
      </c>
      <c r="G61" s="368">
        <v>0</v>
      </c>
      <c r="H61" s="505">
        <f>B61*'Income Data'!E7</f>
        <v>0</v>
      </c>
      <c r="I61" s="506">
        <f>H61*'Income Data'!F7</f>
        <v>0</v>
      </c>
      <c r="J61" s="506" t="e">
        <f>I61/B61</f>
        <v>#DIV/0!</v>
      </c>
      <c r="K61" s="507">
        <f>IF(B13&gt;=60,(B13-60)/60*I61,B13/60*I61)</f>
        <v>0</v>
      </c>
      <c r="L61" s="231"/>
      <c r="M61" s="327">
        <f>B61*(100/C61)^2</f>
        <v>0</v>
      </c>
      <c r="N61" s="241">
        <f>M61*'Cost Data'!C15</f>
        <v>0</v>
      </c>
      <c r="O61" s="241">
        <f>M61*'Cost Data'!C18</f>
        <v>0</v>
      </c>
      <c r="P61" s="241"/>
      <c r="Q61" s="241">
        <f>SUM(N61:O61)</f>
        <v>0</v>
      </c>
      <c r="R61" s="241">
        <f>$B61*'Cost Data'!$C$27*3</f>
        <v>0</v>
      </c>
      <c r="S61" s="241">
        <f>$B61*'Cost Data'!$C$27*2</f>
        <v>0</v>
      </c>
      <c r="T61" s="241">
        <f>$B61*'Cost Data'!$C$27</f>
        <v>0</v>
      </c>
      <c r="U61" s="241">
        <f>0.15*Q61</f>
        <v>0</v>
      </c>
      <c r="V61" s="241">
        <f>0.1*Q61</f>
        <v>0</v>
      </c>
      <c r="W61" s="241">
        <f>0.05*Q61</f>
        <v>0</v>
      </c>
      <c r="X61" s="241">
        <f>M61*D61*'Cost Data'!C$21</f>
        <v>0</v>
      </c>
      <c r="Y61" s="241">
        <f>M61*E61*'Cost Data'!C$22</f>
        <v>0</v>
      </c>
      <c r="Z61" s="241">
        <f>M61*(D61+E61+(F61/2))*'Cost Data'!C$23</f>
        <v>0</v>
      </c>
      <c r="AA61" s="199">
        <f>B61*'Cost Data'!C11</f>
        <v>0</v>
      </c>
      <c r="AB61" s="241">
        <f>M61*F61*'Cost Data'!C$24</f>
        <v>0</v>
      </c>
      <c r="AC61" s="241">
        <f>M61*G61*'Cost Data'!$C$20</f>
        <v>0</v>
      </c>
    </row>
    <row r="62" spans="1:29" s="6" customFormat="1" ht="20.149999999999999" customHeight="1" x14ac:dyDescent="0.3">
      <c r="A62" s="86" t="s">
        <v>282</v>
      </c>
      <c r="B62" s="361">
        <v>0</v>
      </c>
      <c r="C62" s="367">
        <v>2</v>
      </c>
      <c r="D62" s="368">
        <v>0</v>
      </c>
      <c r="E62" s="368">
        <v>0</v>
      </c>
      <c r="F62" s="368">
        <v>0</v>
      </c>
      <c r="G62" s="368">
        <v>0</v>
      </c>
      <c r="H62" s="503"/>
      <c r="I62" s="71"/>
      <c r="J62" s="71"/>
      <c r="K62" s="504"/>
      <c r="L62" s="352"/>
      <c r="M62" s="327">
        <f>B62*(100/C62)^2</f>
        <v>0</v>
      </c>
      <c r="N62" s="241">
        <f>M62*'Cost Data'!C$15</f>
        <v>0</v>
      </c>
      <c r="O62" s="241">
        <f>M62*'Cost Data'!C$18</f>
        <v>0</v>
      </c>
      <c r="P62" s="241"/>
      <c r="Q62" s="241">
        <f>SUM(N62:O62)</f>
        <v>0</v>
      </c>
      <c r="R62" s="241">
        <f>$B62*'Cost Data'!$C$27*3</f>
        <v>0</v>
      </c>
      <c r="S62" s="241">
        <f>$B62*'Cost Data'!$C$27*2</f>
        <v>0</v>
      </c>
      <c r="T62" s="241">
        <f>$B62*'Cost Data'!$C$27</f>
        <v>0</v>
      </c>
      <c r="U62" s="241">
        <f>0.15*Q62</f>
        <v>0</v>
      </c>
      <c r="V62" s="241">
        <f>0.1*Q62</f>
        <v>0</v>
      </c>
      <c r="W62" s="241">
        <f>0.05*Q62</f>
        <v>0</v>
      </c>
      <c r="X62" s="241">
        <f>M62*D62*'Cost Data'!C$21</f>
        <v>0</v>
      </c>
      <c r="Y62" s="241">
        <f>M62*E62*'Cost Data'!C$22</f>
        <v>0</v>
      </c>
      <c r="Z62" s="241">
        <f>M62*(D62+E62+(F62/2))*'Cost Data'!C$23</f>
        <v>0</v>
      </c>
      <c r="AA62" s="328"/>
      <c r="AB62" s="241">
        <f>M62*F62*'Cost Data'!C$24</f>
        <v>0</v>
      </c>
      <c r="AC62" s="241">
        <f>M62*G62*'Cost Data'!$C$20</f>
        <v>0</v>
      </c>
    </row>
    <row r="63" spans="1:29" s="6" customFormat="1" ht="20.149999999999999" customHeight="1" x14ac:dyDescent="0.3">
      <c r="A63" s="167" t="s">
        <v>283</v>
      </c>
      <c r="B63" s="366">
        <v>0</v>
      </c>
      <c r="C63" s="622" t="s">
        <v>21</v>
      </c>
      <c r="D63" s="622" t="s">
        <v>21</v>
      </c>
      <c r="E63" s="622" t="s">
        <v>21</v>
      </c>
      <c r="F63" s="622" t="s">
        <v>21</v>
      </c>
      <c r="G63" s="622" t="s">
        <v>21</v>
      </c>
      <c r="H63" s="503"/>
      <c r="I63" s="71"/>
      <c r="J63" s="71"/>
      <c r="K63" s="504"/>
      <c r="L63" s="352"/>
      <c r="M63" s="328"/>
      <c r="N63" s="328"/>
      <c r="O63" s="328"/>
      <c r="P63" s="328"/>
      <c r="Q63" s="328"/>
      <c r="R63" s="328"/>
      <c r="S63" s="328"/>
      <c r="T63" s="328"/>
      <c r="U63" s="328"/>
      <c r="V63" s="328"/>
      <c r="W63" s="328"/>
      <c r="X63" s="328"/>
      <c r="Y63" s="328"/>
      <c r="Z63" s="328"/>
      <c r="AA63" s="328"/>
      <c r="AB63" s="328"/>
      <c r="AC63" s="329"/>
    </row>
    <row r="64" spans="1:29" s="6" customFormat="1" ht="20.149999999999999" customHeight="1" x14ac:dyDescent="0.3">
      <c r="A64" s="214" t="s">
        <v>336</v>
      </c>
      <c r="B64" s="598">
        <f>SUM(B59:B63)</f>
        <v>0</v>
      </c>
      <c r="C64" s="624"/>
      <c r="D64" s="620"/>
      <c r="E64" s="620"/>
      <c r="F64" s="214"/>
      <c r="G64" s="239"/>
      <c r="H64" s="503"/>
      <c r="I64" s="71"/>
      <c r="J64" s="71"/>
      <c r="K64" s="78"/>
      <c r="L64" s="352"/>
      <c r="M64" s="331"/>
      <c r="N64" s="307">
        <f>SUM(N59:N62)</f>
        <v>0</v>
      </c>
      <c r="O64" s="307">
        <f>SUM(O59:O62)</f>
        <v>0</v>
      </c>
      <c r="P64" s="307"/>
      <c r="Q64" s="307">
        <f t="shared" ref="Q64:W64" si="0">SUM(Q59:Q62)</f>
        <v>0</v>
      </c>
      <c r="R64" s="307">
        <f t="shared" si="0"/>
        <v>0</v>
      </c>
      <c r="S64" s="307">
        <f t="shared" si="0"/>
        <v>0</v>
      </c>
      <c r="T64" s="307">
        <f t="shared" si="0"/>
        <v>0</v>
      </c>
      <c r="U64" s="307">
        <f t="shared" si="0"/>
        <v>0</v>
      </c>
      <c r="V64" s="307">
        <f t="shared" si="0"/>
        <v>0</v>
      </c>
      <c r="W64" s="307">
        <f t="shared" si="0"/>
        <v>0</v>
      </c>
      <c r="X64" s="307">
        <f>SUM(X59:X62)</f>
        <v>0</v>
      </c>
      <c r="Y64" s="307">
        <f>SUM(Y59:Y62)</f>
        <v>0</v>
      </c>
      <c r="Z64" s="307">
        <f>SUM(Z59:Z62)</f>
        <v>0</v>
      </c>
      <c r="AA64" s="306"/>
      <c r="AB64" s="307">
        <f>SUM(AB59:AB62)</f>
        <v>0</v>
      </c>
      <c r="AC64" s="307">
        <f>SUM(AC59:AC62)</f>
        <v>0</v>
      </c>
    </row>
    <row r="65" spans="1:29" s="6" customFormat="1" ht="20.149999999999999" customHeight="1" x14ac:dyDescent="0.3">
      <c r="A65" s="86" t="s">
        <v>269</v>
      </c>
      <c r="B65" s="361">
        <v>0</v>
      </c>
      <c r="C65" s="367">
        <v>2.5</v>
      </c>
      <c r="D65" s="368">
        <v>0</v>
      </c>
      <c r="E65" s="368">
        <v>0</v>
      </c>
      <c r="F65" s="368">
        <v>0</v>
      </c>
      <c r="G65" s="368">
        <v>0</v>
      </c>
      <c r="H65" s="503"/>
      <c r="I65" s="71"/>
      <c r="J65" s="387"/>
      <c r="K65" s="504"/>
      <c r="L65" s="352"/>
      <c r="M65" s="327">
        <f>B65*(100/C65)^2</f>
        <v>0</v>
      </c>
      <c r="N65" s="241">
        <f>M65*'Cost Data'!C$16</f>
        <v>0</v>
      </c>
      <c r="O65" s="241">
        <f>M65*'Cost Data'!C$19</f>
        <v>0</v>
      </c>
      <c r="P65" s="241"/>
      <c r="Q65" s="241">
        <f>SUM(N65:O65)</f>
        <v>0</v>
      </c>
      <c r="R65" s="241">
        <f>$B65*'Cost Data'!$C$27*3</f>
        <v>0</v>
      </c>
      <c r="S65" s="241">
        <f>$B65*'Cost Data'!$C$27*2</f>
        <v>0</v>
      </c>
      <c r="T65" s="241">
        <f>$B65*'Cost Data'!$C$27</f>
        <v>0</v>
      </c>
      <c r="U65" s="241">
        <f>0.15*Q$65</f>
        <v>0</v>
      </c>
      <c r="V65" s="241">
        <f>0.1*Q$65</f>
        <v>0</v>
      </c>
      <c r="W65" s="241">
        <f>0.05*Q$65</f>
        <v>0</v>
      </c>
      <c r="X65" s="241">
        <f>IF(D65&gt;0,D65*M65*'Cost Data'!C$21,0)</f>
        <v>0</v>
      </c>
      <c r="Y65" s="241">
        <f>IF(E65&gt;0,E65*M65*'Cost Data'!C$22,0)</f>
        <v>0</v>
      </c>
      <c r="Z65" s="241">
        <f>IF(D65&gt;0,(D65+E65+(F65/2))*M65*'Cost Data'!C$23,0)</f>
        <v>0</v>
      </c>
      <c r="AA65" s="328"/>
      <c r="AB65" s="241">
        <f>IF(F65&gt;0,F65*M65*'Cost Data'!C$24,0)</f>
        <v>0</v>
      </c>
      <c r="AC65" s="241">
        <f>IF(G65&gt;0,G65*M65*'Cost Data'!$C$20,0)</f>
        <v>0</v>
      </c>
    </row>
    <row r="66" spans="1:29" s="6" customFormat="1" ht="20.149999999999999" customHeight="1" x14ac:dyDescent="0.3">
      <c r="A66" s="86" t="s">
        <v>268</v>
      </c>
      <c r="B66" s="361">
        <v>0</v>
      </c>
      <c r="C66" s="367">
        <v>2.5</v>
      </c>
      <c r="D66" s="368">
        <v>0</v>
      </c>
      <c r="E66" s="368">
        <v>0</v>
      </c>
      <c r="F66" s="368">
        <v>0</v>
      </c>
      <c r="G66" s="368">
        <v>0</v>
      </c>
      <c r="H66" s="503"/>
      <c r="I66" s="71"/>
      <c r="J66" s="71"/>
      <c r="K66" s="504"/>
      <c r="L66" s="352"/>
      <c r="M66" s="327">
        <f>B66*(100/C66)^2</f>
        <v>0</v>
      </c>
      <c r="N66" s="241">
        <f>M66*'Cost Data'!C$16</f>
        <v>0</v>
      </c>
      <c r="O66" s="241">
        <f>M66*'Cost Data'!C$19</f>
        <v>0</v>
      </c>
      <c r="P66" s="241"/>
      <c r="Q66" s="241">
        <f>SUM(N66:O66)</f>
        <v>0</v>
      </c>
      <c r="R66" s="241">
        <f>$B66*'Cost Data'!$C$27*3</f>
        <v>0</v>
      </c>
      <c r="S66" s="241">
        <f>$B66*'Cost Data'!$C$27*2</f>
        <v>0</v>
      </c>
      <c r="T66" s="241">
        <f>$B66*'Cost Data'!$C$27</f>
        <v>0</v>
      </c>
      <c r="U66" s="241">
        <f>0.15*Q$66</f>
        <v>0</v>
      </c>
      <c r="V66" s="241">
        <f>0.1*Q$66</f>
        <v>0</v>
      </c>
      <c r="W66" s="241">
        <f>0.05*Q$66</f>
        <v>0</v>
      </c>
      <c r="X66" s="241">
        <f>IF(D66&gt;0,D66*M66*'Cost Data'!C$21,0)</f>
        <v>0</v>
      </c>
      <c r="Y66" s="241">
        <f>IF(E66&gt;0,E66*M66*'Cost Data'!C$22,0)</f>
        <v>0</v>
      </c>
      <c r="Z66" s="241">
        <f>IF(D66&gt;0,(D66+E66+(F66/2))*M66*'Cost Data'!C$23,0)</f>
        <v>0</v>
      </c>
      <c r="AA66" s="328"/>
      <c r="AB66" s="241">
        <f>IF(F66&gt;0,F66*M66*'Cost Data'!C$24,0)</f>
        <v>0</v>
      </c>
      <c r="AC66" s="241">
        <f>IF(G66&gt;0,G66*M66*'Cost Data'!$C$20,0)</f>
        <v>0</v>
      </c>
    </row>
    <row r="67" spans="1:29" s="6" customFormat="1" ht="20.149999999999999" customHeight="1" x14ac:dyDescent="0.3">
      <c r="A67" s="167" t="s">
        <v>276</v>
      </c>
      <c r="B67" s="366">
        <v>0</v>
      </c>
      <c r="C67" s="622" t="s">
        <v>21</v>
      </c>
      <c r="D67" s="622" t="s">
        <v>21</v>
      </c>
      <c r="E67" s="622" t="s">
        <v>21</v>
      </c>
      <c r="F67" s="622" t="s">
        <v>21</v>
      </c>
      <c r="G67" s="623" t="s">
        <v>21</v>
      </c>
      <c r="H67" s="503"/>
      <c r="I67" s="71"/>
      <c r="J67" s="71"/>
      <c r="K67" s="504"/>
      <c r="L67" s="352"/>
      <c r="M67" s="328"/>
      <c r="N67" s="328"/>
      <c r="O67" s="328"/>
      <c r="P67" s="328"/>
      <c r="Q67" s="328"/>
      <c r="R67" s="328"/>
      <c r="S67" s="328"/>
      <c r="T67" s="328"/>
      <c r="U67" s="328"/>
      <c r="V67" s="328"/>
      <c r="W67" s="328"/>
      <c r="X67" s="328"/>
      <c r="Y67" s="328"/>
      <c r="Z67" s="328"/>
      <c r="AA67" s="328"/>
      <c r="AB67" s="328"/>
      <c r="AC67" s="329"/>
    </row>
    <row r="68" spans="1:29" s="6" customFormat="1" ht="20.149999999999999" customHeight="1" thickBot="1" x14ac:dyDescent="0.35">
      <c r="A68" s="214" t="s">
        <v>337</v>
      </c>
      <c r="B68" s="598">
        <f>SUM(B65:B67)</f>
        <v>0</v>
      </c>
      <c r="C68" s="215"/>
      <c r="D68" s="215"/>
      <c r="E68" s="215"/>
      <c r="F68" s="214"/>
      <c r="G68" s="219"/>
      <c r="H68" s="503"/>
      <c r="I68" s="71"/>
      <c r="J68" s="71"/>
      <c r="K68" s="504"/>
      <c r="L68" s="352"/>
      <c r="M68" s="331"/>
      <c r="N68" s="307">
        <f>SUM(N65:N66)</f>
        <v>0</v>
      </c>
      <c r="O68" s="307">
        <f>SUM(O65:O66)</f>
        <v>0</v>
      </c>
      <c r="P68" s="307"/>
      <c r="Q68" s="307">
        <f t="shared" ref="Q68:Z68" si="1">SUM(Q65:Q66)</f>
        <v>0</v>
      </c>
      <c r="R68" s="307">
        <f t="shared" si="1"/>
        <v>0</v>
      </c>
      <c r="S68" s="307">
        <f t="shared" si="1"/>
        <v>0</v>
      </c>
      <c r="T68" s="307">
        <f t="shared" si="1"/>
        <v>0</v>
      </c>
      <c r="U68" s="307">
        <f t="shared" si="1"/>
        <v>0</v>
      </c>
      <c r="V68" s="307">
        <f t="shared" si="1"/>
        <v>0</v>
      </c>
      <c r="W68" s="307">
        <f t="shared" si="1"/>
        <v>0</v>
      </c>
      <c r="X68" s="307">
        <f t="shared" si="1"/>
        <v>0</v>
      </c>
      <c r="Y68" s="307">
        <f t="shared" si="1"/>
        <v>0</v>
      </c>
      <c r="Z68" s="307">
        <f t="shared" si="1"/>
        <v>0</v>
      </c>
      <c r="AA68" s="306"/>
      <c r="AB68" s="307">
        <f>SUM(AB65:AB66)</f>
        <v>0</v>
      </c>
      <c r="AC68" s="307">
        <f>SUM(AC65:AC66)</f>
        <v>0</v>
      </c>
    </row>
    <row r="69" spans="1:29" s="276" customFormat="1" ht="28" customHeight="1" thickTop="1" thickBot="1" x14ac:dyDescent="0.35">
      <c r="A69" s="616" t="s">
        <v>338</v>
      </c>
      <c r="B69" s="617">
        <f>SUM(B64,B68)</f>
        <v>0</v>
      </c>
      <c r="C69" s="867" t="s">
        <v>333</v>
      </c>
      <c r="D69" s="854"/>
      <c r="E69" s="854"/>
      <c r="F69" s="854"/>
      <c r="G69" s="854"/>
      <c r="H69" s="317"/>
      <c r="I69" s="317"/>
      <c r="K69" s="502">
        <f>SUM(K59:K68)</f>
        <v>0</v>
      </c>
      <c r="L69" s="6"/>
      <c r="AC69" s="332"/>
    </row>
    <row r="70" spans="1:29" s="276" customFormat="1" ht="15" customHeight="1" thickTop="1" x14ac:dyDescent="0.3">
      <c r="B70" s="618"/>
      <c r="C70" s="135"/>
      <c r="H70" s="317"/>
      <c r="I70" s="317"/>
      <c r="K70" s="333"/>
      <c r="L70" s="6"/>
      <c r="AC70" s="332"/>
    </row>
    <row r="71" spans="1:29" s="6" customFormat="1" ht="18.75" customHeight="1" x14ac:dyDescent="0.3">
      <c r="A71" s="276" t="s">
        <v>348</v>
      </c>
      <c r="C71" s="276"/>
      <c r="D71" s="276"/>
      <c r="E71" s="276"/>
      <c r="G71" s="241"/>
      <c r="AC71" s="303"/>
    </row>
    <row r="72" spans="1:29" s="6" customFormat="1" ht="20.149999999999999" customHeight="1" x14ac:dyDescent="0.3">
      <c r="A72" s="615" t="s">
        <v>506</v>
      </c>
      <c r="B72" s="619" t="s">
        <v>295</v>
      </c>
      <c r="C72" s="856" t="s">
        <v>507</v>
      </c>
      <c r="D72" s="866"/>
      <c r="E72" s="866"/>
      <c r="F72" s="866"/>
      <c r="G72" s="241"/>
      <c r="H72" s="307">
        <f>IF(AND(B10&lt;=10,'Data Entry'!B72="Yes"),'Cost Data'!C38*B10,IF('Data Entry'!B72="Yes",'Cost Data'!C38*10+('Data Entry'!B10-10)*'Cost Data'!C39,0))</f>
        <v>0</v>
      </c>
      <c r="I72" s="78"/>
      <c r="AC72" s="303"/>
    </row>
    <row r="73" spans="1:29" s="6" customFormat="1" ht="20.149999999999999" customHeight="1" x14ac:dyDescent="0.3">
      <c r="A73" s="168" t="s">
        <v>8</v>
      </c>
      <c r="B73" s="620" t="s">
        <v>295</v>
      </c>
      <c r="C73" s="856" t="s">
        <v>355</v>
      </c>
      <c r="D73" s="866"/>
      <c r="E73" s="866"/>
      <c r="F73" s="866"/>
      <c r="G73" s="241"/>
      <c r="H73" s="330" t="s">
        <v>257</v>
      </c>
      <c r="I73" s="78"/>
      <c r="AC73" s="303"/>
    </row>
    <row r="74" spans="1:29" s="6" customFormat="1" ht="20.149999999999999" customHeight="1" x14ac:dyDescent="0.3">
      <c r="A74" s="615" t="s">
        <v>417</v>
      </c>
      <c r="B74" s="620" t="s">
        <v>295</v>
      </c>
      <c r="C74" s="856" t="s">
        <v>356</v>
      </c>
      <c r="D74" s="866"/>
      <c r="E74" s="866"/>
      <c r="F74" s="866"/>
      <c r="G74" s="78"/>
      <c r="H74" s="312">
        <f>IF(B74="Yes",B11*'Cost Data'!C25,0)</f>
        <v>0</v>
      </c>
      <c r="AC74" s="303"/>
    </row>
    <row r="75" spans="1:29" s="6" customFormat="1" ht="15" customHeight="1" x14ac:dyDescent="0.3">
      <c r="D75" s="135"/>
      <c r="E75" s="135"/>
      <c r="G75" s="241"/>
      <c r="AC75" s="303"/>
    </row>
    <row r="76" spans="1:29" s="6" customFormat="1" ht="19.5" x14ac:dyDescent="0.3">
      <c r="A76" s="605" t="s">
        <v>349</v>
      </c>
      <c r="G76" s="241"/>
      <c r="AC76" s="303"/>
    </row>
    <row r="77" spans="1:29" s="6" customFormat="1" ht="19.5" x14ac:dyDescent="0.3">
      <c r="A77" s="250"/>
      <c r="G77" s="241"/>
      <c r="AC77" s="303"/>
    </row>
    <row r="78" spans="1:29" s="6" customFormat="1" x14ac:dyDescent="0.3">
      <c r="A78" s="276" t="s">
        <v>350</v>
      </c>
      <c r="G78" s="241"/>
      <c r="AC78" s="303"/>
    </row>
    <row r="79" spans="1:29" s="276" customFormat="1" ht="32" customHeight="1" x14ac:dyDescent="0.3">
      <c r="A79" s="855" t="s">
        <v>509</v>
      </c>
      <c r="B79" s="855"/>
      <c r="C79" s="855"/>
      <c r="D79" s="6"/>
      <c r="E79" s="6"/>
      <c r="F79" s="6"/>
      <c r="G79" s="241"/>
      <c r="H79" s="6"/>
      <c r="AC79" s="332"/>
    </row>
    <row r="80" spans="1:29" s="276" customFormat="1" ht="32" customHeight="1" x14ac:dyDescent="0.3">
      <c r="A80" s="855" t="s">
        <v>508</v>
      </c>
      <c r="B80" s="855"/>
      <c r="C80" s="855"/>
      <c r="D80" s="6"/>
      <c r="E80" s="6"/>
      <c r="F80" s="6"/>
      <c r="G80" s="241"/>
      <c r="H80" s="6"/>
      <c r="AC80" s="332"/>
    </row>
    <row r="81" spans="1:29" s="6" customFormat="1" ht="20.149999999999999" customHeight="1" x14ac:dyDescent="0.3">
      <c r="A81" s="621"/>
      <c r="B81" s="612" t="s">
        <v>100</v>
      </c>
      <c r="C81" s="612" t="s">
        <v>129</v>
      </c>
      <c r="D81" s="135"/>
      <c r="E81" s="135"/>
      <c r="F81" s="135"/>
      <c r="G81" s="241"/>
      <c r="H81" s="135"/>
      <c r="AC81" s="303"/>
    </row>
    <row r="82" spans="1:29" s="6" customFormat="1" ht="20" customHeight="1" x14ac:dyDescent="0.3">
      <c r="A82" s="615" t="s">
        <v>317</v>
      </c>
      <c r="B82" s="370">
        <v>0</v>
      </c>
      <c r="C82" s="168"/>
      <c r="D82" s="590"/>
      <c r="E82" s="590"/>
      <c r="G82" s="241"/>
      <c r="AC82" s="303"/>
    </row>
    <row r="83" spans="1:29" s="6" customFormat="1" ht="20" customHeight="1" x14ac:dyDescent="0.3">
      <c r="A83" s="615" t="s">
        <v>318</v>
      </c>
      <c r="B83" s="370">
        <v>0</v>
      </c>
      <c r="C83" s="238"/>
      <c r="D83" s="590"/>
      <c r="E83" s="590"/>
      <c r="F83" s="135"/>
      <c r="G83" s="241"/>
      <c r="AC83" s="303"/>
    </row>
    <row r="84" spans="1:29" s="6" customFormat="1" ht="20" customHeight="1" x14ac:dyDescent="0.3">
      <c r="A84" s="615" t="s">
        <v>319</v>
      </c>
      <c r="B84" s="371">
        <v>0</v>
      </c>
      <c r="C84" s="373">
        <v>0</v>
      </c>
      <c r="D84" s="844" t="s">
        <v>511</v>
      </c>
      <c r="E84" s="845"/>
      <c r="F84" s="845"/>
      <c r="G84" s="846"/>
      <c r="H84" s="135"/>
      <c r="AC84" s="303"/>
    </row>
    <row r="85" spans="1:29" s="6" customFormat="1" ht="20" customHeight="1" x14ac:dyDescent="0.3">
      <c r="A85" s="814" t="s">
        <v>323</v>
      </c>
      <c r="B85" s="370">
        <v>0</v>
      </c>
      <c r="C85" s="372">
        <v>0</v>
      </c>
      <c r="D85" s="847"/>
      <c r="E85" s="848"/>
      <c r="F85" s="848"/>
      <c r="G85" s="849"/>
      <c r="H85" s="135"/>
      <c r="AC85" s="303"/>
    </row>
    <row r="86" spans="1:29" s="6" customFormat="1" ht="20" customHeight="1" x14ac:dyDescent="0.3">
      <c r="A86" s="615" t="s">
        <v>339</v>
      </c>
      <c r="B86" s="360" t="s">
        <v>300</v>
      </c>
      <c r="C86" s="168"/>
      <c r="D86" s="855" t="s">
        <v>512</v>
      </c>
      <c r="E86" s="854"/>
      <c r="F86" s="854"/>
      <c r="G86" s="854"/>
      <c r="H86" s="135"/>
      <c r="AC86" s="303"/>
    </row>
    <row r="87" spans="1:29" s="6" customFormat="1" ht="15" customHeight="1" x14ac:dyDescent="0.3">
      <c r="A87" s="276"/>
      <c r="B87" s="135"/>
      <c r="C87" s="276"/>
      <c r="F87" s="276"/>
      <c r="G87" s="317"/>
      <c r="AC87" s="303"/>
    </row>
    <row r="88" spans="1:29" s="6" customFormat="1" ht="15" customHeight="1" x14ac:dyDescent="0.3">
      <c r="A88" s="276" t="s">
        <v>351</v>
      </c>
      <c r="B88" s="135"/>
      <c r="C88" s="276"/>
      <c r="D88" s="276"/>
      <c r="E88" s="276"/>
      <c r="F88" s="276"/>
      <c r="G88" s="317"/>
      <c r="H88" s="276"/>
      <c r="AC88" s="303"/>
    </row>
    <row r="89" spans="1:29" s="6" customFormat="1" x14ac:dyDescent="0.3">
      <c r="A89" s="611"/>
      <c r="B89" s="612" t="s">
        <v>100</v>
      </c>
      <c r="C89" s="613" t="s">
        <v>129</v>
      </c>
      <c r="D89" s="614"/>
      <c r="E89" s="380"/>
      <c r="F89" s="386"/>
      <c r="G89" s="241"/>
      <c r="AC89" s="303"/>
    </row>
    <row r="90" spans="1:29" s="6" customFormat="1" ht="20.149999999999999" customHeight="1" x14ac:dyDescent="0.3">
      <c r="A90" s="814" t="s">
        <v>322</v>
      </c>
      <c r="B90" s="374">
        <v>0</v>
      </c>
      <c r="C90" s="392">
        <v>0</v>
      </c>
      <c r="D90" s="844" t="s">
        <v>513</v>
      </c>
      <c r="E90" s="845"/>
      <c r="F90" s="845"/>
      <c r="G90" s="846"/>
      <c r="H90" s="501"/>
      <c r="AC90" s="303"/>
    </row>
    <row r="91" spans="1:29" s="6" customFormat="1" ht="20.149999999999999" customHeight="1" x14ac:dyDescent="0.3">
      <c r="A91" s="814" t="s">
        <v>322</v>
      </c>
      <c r="B91" s="374">
        <v>0</v>
      </c>
      <c r="C91" s="392">
        <v>0</v>
      </c>
      <c r="D91" s="850"/>
      <c r="E91" s="851"/>
      <c r="F91" s="851"/>
      <c r="G91" s="852"/>
      <c r="H91" s="501"/>
      <c r="AC91" s="303"/>
    </row>
    <row r="92" spans="1:29" s="6" customFormat="1" ht="20.149999999999999" customHeight="1" x14ac:dyDescent="0.3">
      <c r="A92" s="814" t="s">
        <v>322</v>
      </c>
      <c r="B92" s="374">
        <v>0</v>
      </c>
      <c r="C92" s="392">
        <v>0</v>
      </c>
      <c r="D92" s="847"/>
      <c r="E92" s="848"/>
      <c r="F92" s="848"/>
      <c r="G92" s="849"/>
      <c r="H92" s="501"/>
      <c r="AC92" s="303"/>
    </row>
    <row r="93" spans="1:29" s="6" customFormat="1" ht="15" customHeight="1" x14ac:dyDescent="0.3">
      <c r="A93" s="276"/>
      <c r="B93" s="334"/>
      <c r="C93" s="334"/>
      <c r="D93" s="334"/>
      <c r="E93" s="334"/>
      <c r="G93" s="241"/>
      <c r="AC93" s="303"/>
    </row>
    <row r="94" spans="1:29" s="6" customFormat="1" ht="15" customHeight="1" x14ac:dyDescent="0.3">
      <c r="A94" s="276" t="s">
        <v>352</v>
      </c>
      <c r="B94" s="609"/>
      <c r="C94" s="610"/>
      <c r="D94" s="610"/>
      <c r="E94" s="610"/>
      <c r="F94" s="276"/>
      <c r="G94" s="241"/>
      <c r="AC94" s="303"/>
    </row>
    <row r="95" spans="1:29" s="6" customFormat="1" x14ac:dyDescent="0.3">
      <c r="A95" s="611"/>
      <c r="B95" s="612" t="s">
        <v>100</v>
      </c>
      <c r="C95" s="613" t="s">
        <v>325</v>
      </c>
      <c r="D95" s="380"/>
      <c r="E95" s="380"/>
      <c r="F95" s="276"/>
      <c r="G95" s="241"/>
      <c r="AC95" s="303"/>
    </row>
    <row r="96" spans="1:29" s="6" customFormat="1" ht="20.149999999999999" customHeight="1" x14ac:dyDescent="0.3">
      <c r="A96" s="815" t="s">
        <v>324</v>
      </c>
      <c r="B96" s="393">
        <v>0</v>
      </c>
      <c r="C96" s="392">
        <v>2025</v>
      </c>
      <c r="D96" s="844" t="s">
        <v>514</v>
      </c>
      <c r="E96" s="845"/>
      <c r="F96" s="845"/>
      <c r="G96" s="846"/>
      <c r="H96" s="501"/>
      <c r="AC96" s="303"/>
    </row>
    <row r="97" spans="1:29" s="6" customFormat="1" ht="20.149999999999999" customHeight="1" x14ac:dyDescent="0.3">
      <c r="A97" s="815" t="s">
        <v>324</v>
      </c>
      <c r="B97" s="393">
        <v>0</v>
      </c>
      <c r="C97" s="392">
        <v>2026</v>
      </c>
      <c r="D97" s="850"/>
      <c r="E97" s="851"/>
      <c r="F97" s="851"/>
      <c r="G97" s="852"/>
      <c r="H97" s="501"/>
      <c r="AC97" s="303"/>
    </row>
    <row r="98" spans="1:29" s="6" customFormat="1" ht="20.149999999999999" customHeight="1" x14ac:dyDescent="0.3">
      <c r="A98" s="815" t="s">
        <v>324</v>
      </c>
      <c r="B98" s="393">
        <v>0</v>
      </c>
      <c r="C98" s="392">
        <v>2027</v>
      </c>
      <c r="D98" s="847"/>
      <c r="E98" s="848"/>
      <c r="F98" s="848"/>
      <c r="G98" s="849"/>
      <c r="H98" s="501"/>
      <c r="AC98" s="303"/>
    </row>
    <row r="99" spans="1:29" s="6" customFormat="1" ht="15" customHeight="1" x14ac:dyDescent="0.3">
      <c r="G99" s="241"/>
      <c r="AC99" s="303"/>
    </row>
    <row r="100" spans="1:29" s="6" customFormat="1" ht="24" customHeight="1" x14ac:dyDescent="0.3">
      <c r="A100" s="605" t="s">
        <v>517</v>
      </c>
      <c r="G100" s="241"/>
      <c r="AC100" s="303"/>
    </row>
    <row r="101" spans="1:29" s="6" customFormat="1" ht="24" customHeight="1" x14ac:dyDescent="0.3">
      <c r="A101" s="250"/>
      <c r="G101" s="241"/>
      <c r="AC101" s="303"/>
    </row>
    <row r="102" spans="1:29" s="6" customFormat="1" ht="33.5" customHeight="1" x14ac:dyDescent="0.3">
      <c r="A102" s="597" t="s">
        <v>366</v>
      </c>
      <c r="B102" s="606" t="s">
        <v>368</v>
      </c>
      <c r="C102" s="607"/>
      <c r="F102" s="276"/>
      <c r="G102" s="241"/>
      <c r="H102" s="276"/>
      <c r="I102" s="165" t="s">
        <v>137</v>
      </c>
      <c r="J102" s="165" t="s">
        <v>140</v>
      </c>
      <c r="K102" s="218" t="s">
        <v>196</v>
      </c>
      <c r="AB102" s="303"/>
    </row>
    <row r="103" spans="1:29" s="6" customFormat="1" ht="32.5" customHeight="1" x14ac:dyDescent="0.3">
      <c r="A103" s="603" t="s">
        <v>247</v>
      </c>
      <c r="B103" s="364">
        <v>0</v>
      </c>
      <c r="C103" s="853" t="s">
        <v>515</v>
      </c>
      <c r="D103" s="854"/>
      <c r="E103" s="854"/>
      <c r="F103" s="854"/>
      <c r="G103" s="854"/>
      <c r="H103" s="135"/>
      <c r="I103" s="508">
        <f>VLOOKUP($B$7,'Income Forgone and BPS data'!$B$19:$C$22,2,FALSE)</f>
        <v>20</v>
      </c>
      <c r="J103" s="336">
        <f>IF(B103&gt;0,B103*VLOOKUP($B$7&amp;$A103,'Income Forgone and BPS data'!$A$5:$E$16,5,FALSE),0)</f>
        <v>0</v>
      </c>
      <c r="K103" s="336">
        <f>IF($B103&gt;0,$B103*VLOOKUP($B$7&amp;$A103,'Income Forgone and BPS data'!$A$5:$E$16,4,FALSE),0)</f>
        <v>0</v>
      </c>
      <c r="AB103" s="303"/>
    </row>
    <row r="104" spans="1:29" s="6" customFormat="1" ht="22.5" customHeight="1" x14ac:dyDescent="0.3">
      <c r="A104" s="604" t="s">
        <v>367</v>
      </c>
      <c r="B104" s="364">
        <v>0</v>
      </c>
      <c r="C104" s="601" t="s">
        <v>518</v>
      </c>
      <c r="D104" s="602"/>
      <c r="E104" s="602"/>
      <c r="F104" s="602"/>
      <c r="G104" s="407"/>
      <c r="H104" s="135"/>
      <c r="I104" s="337"/>
      <c r="J104" s="336">
        <f>IF(B104&gt;0,B104*VLOOKUP($B$7&amp;$A104,'Income Forgone and BPS data'!$A$5:$E$16,5,FALSE),0)</f>
        <v>0</v>
      </c>
      <c r="K104" s="336">
        <f>IF($B104&gt;0,$B104*VLOOKUP($B$7&amp;$A104,'Income Forgone and BPS data'!$A$5:$E$16,4,FALSE),0)</f>
        <v>0</v>
      </c>
      <c r="AB104" s="303"/>
    </row>
    <row r="105" spans="1:29" s="6" customFormat="1" ht="21.75" customHeight="1" x14ac:dyDescent="0.3">
      <c r="A105" s="809" t="s">
        <v>245</v>
      </c>
      <c r="B105" s="364">
        <v>0</v>
      </c>
      <c r="C105" s="601" t="s">
        <v>574</v>
      </c>
      <c r="D105" s="602"/>
      <c r="E105" s="602"/>
      <c r="F105" s="602"/>
      <c r="G105" s="407"/>
      <c r="I105" s="510"/>
      <c r="J105" s="336">
        <f>IF(B105&gt;0,B105*VLOOKUP($B$7&amp;$A105,'Income Forgone and BPS data'!$A$5:$E$16,5,FALSE),0)</f>
        <v>0</v>
      </c>
      <c r="K105" s="336">
        <f>IF($B105&gt;0,$B105*VLOOKUP($B$7&amp;$A105,'Income Forgone and BPS data'!$A$5:$E$16,4,FALSE),0)</f>
        <v>0</v>
      </c>
      <c r="AB105" s="303"/>
    </row>
    <row r="106" spans="1:29" s="6" customFormat="1" ht="24.75" customHeight="1" x14ac:dyDescent="0.3">
      <c r="A106" s="597" t="s">
        <v>80</v>
      </c>
      <c r="B106" s="598">
        <f>SUM(B103:B105)</f>
        <v>0</v>
      </c>
      <c r="C106" s="870" t="s">
        <v>340</v>
      </c>
      <c r="D106" s="871"/>
      <c r="E106" s="871"/>
      <c r="F106" s="871"/>
      <c r="G106" s="872"/>
      <c r="I106" s="511"/>
      <c r="J106" s="224">
        <f>SUM(J103:J105)</f>
        <v>0</v>
      </c>
      <c r="K106" s="224">
        <f>SUM(K103:K105)</f>
        <v>0</v>
      </c>
      <c r="AB106" s="303"/>
    </row>
    <row r="107" spans="1:29" s="6" customFormat="1" ht="24.75" customHeight="1" x14ac:dyDescent="0.3">
      <c r="A107" s="256"/>
      <c r="B107" s="394"/>
      <c r="C107" s="345"/>
      <c r="D107" s="276"/>
      <c r="E107" s="276"/>
      <c r="F107" s="276"/>
      <c r="G107" s="241"/>
      <c r="I107" s="317"/>
      <c r="J107" s="509"/>
      <c r="K107" s="509"/>
      <c r="AB107" s="303"/>
    </row>
    <row r="108" spans="1:29" s="6" customFormat="1" ht="24.75" customHeight="1" x14ac:dyDescent="0.3">
      <c r="A108" s="276" t="s">
        <v>369</v>
      </c>
      <c r="B108" s="394"/>
      <c r="C108" s="345"/>
      <c r="D108" s="858" t="s">
        <v>429</v>
      </c>
      <c r="E108" s="859"/>
      <c r="F108" s="860"/>
      <c r="G108" s="241"/>
      <c r="I108" s="317"/>
      <c r="J108" s="509"/>
      <c r="K108" s="509"/>
      <c r="AB108" s="303"/>
    </row>
    <row r="109" spans="1:29" s="6" customFormat="1" ht="24.75" customHeight="1" x14ac:dyDescent="0.3">
      <c r="A109" s="214" t="s">
        <v>357</v>
      </c>
      <c r="B109" s="214" t="s">
        <v>71</v>
      </c>
      <c r="C109" s="214" t="s">
        <v>70</v>
      </c>
      <c r="D109" s="214" t="s">
        <v>83</v>
      </c>
      <c r="E109" s="869" t="s">
        <v>84</v>
      </c>
      <c r="F109" s="857"/>
      <c r="G109" s="241"/>
      <c r="I109" s="317"/>
      <c r="J109" s="509"/>
      <c r="K109" s="509"/>
      <c r="AB109" s="303"/>
    </row>
    <row r="110" spans="1:29" s="6" customFormat="1" ht="67.5" x14ac:dyDescent="0.3">
      <c r="A110" s="214" t="s">
        <v>370</v>
      </c>
      <c r="B110" s="459" t="s">
        <v>358</v>
      </c>
      <c r="C110" s="344" t="s">
        <v>360</v>
      </c>
      <c r="D110" s="344" t="s">
        <v>362</v>
      </c>
      <c r="E110" s="868" t="s">
        <v>364</v>
      </c>
      <c r="F110" s="857"/>
      <c r="G110" s="241"/>
      <c r="I110" s="317"/>
      <c r="J110" s="509"/>
      <c r="K110" s="509"/>
      <c r="AB110" s="303"/>
    </row>
    <row r="111" spans="1:29" s="6" customFormat="1" ht="127.5" customHeight="1" x14ac:dyDescent="0.3">
      <c r="A111" s="214" t="s">
        <v>371</v>
      </c>
      <c r="B111" s="344" t="s">
        <v>359</v>
      </c>
      <c r="C111" s="344" t="s">
        <v>361</v>
      </c>
      <c r="D111" s="344" t="s">
        <v>363</v>
      </c>
      <c r="E111" s="868" t="s">
        <v>365</v>
      </c>
      <c r="F111" s="857"/>
      <c r="G111" s="241"/>
      <c r="I111" s="317"/>
      <c r="J111" s="509"/>
      <c r="K111" s="509"/>
      <c r="AB111" s="303"/>
    </row>
    <row r="112" spans="1:29" s="6" customFormat="1" ht="24.75" customHeight="1" x14ac:dyDescent="0.3">
      <c r="A112" s="256"/>
      <c r="B112"/>
      <c r="C112"/>
      <c r="D112" s="276"/>
      <c r="E112" s="276"/>
      <c r="F112" s="276"/>
      <c r="G112" s="241"/>
      <c r="I112" s="317"/>
      <c r="J112" s="509"/>
      <c r="K112" s="509"/>
      <c r="AB112" s="303"/>
    </row>
    <row r="113" spans="1:29" s="6" customFormat="1" ht="19.5" x14ac:dyDescent="0.3">
      <c r="A113" s="599" t="s">
        <v>353</v>
      </c>
      <c r="B113" s="335"/>
      <c r="G113" s="241"/>
      <c r="AC113" s="303"/>
    </row>
    <row r="114" spans="1:29" s="6" customFormat="1" ht="19.5" x14ac:dyDescent="0.3">
      <c r="A114" s="600"/>
      <c r="B114" s="335"/>
      <c r="G114" s="241"/>
      <c r="AC114" s="303"/>
    </row>
    <row r="115" spans="1:29" s="6" customFormat="1" ht="14" thickBot="1" x14ac:dyDescent="0.35">
      <c r="A115" s="856" t="s">
        <v>516</v>
      </c>
      <c r="B115" s="857"/>
      <c r="C115" s="857"/>
      <c r="D115" s="857"/>
      <c r="E115" s="857"/>
      <c r="F115" s="857"/>
      <c r="G115" s="276"/>
      <c r="I115" s="519" t="s">
        <v>414</v>
      </c>
      <c r="J115" s="252"/>
      <c r="M115" s="251" t="s">
        <v>40</v>
      </c>
      <c r="N115" s="253"/>
      <c r="O115" s="253"/>
      <c r="P115" s="253"/>
      <c r="Q115" s="253"/>
      <c r="R115" s="253"/>
      <c r="S115" s="254"/>
      <c r="V115" s="251" t="s">
        <v>22</v>
      </c>
      <c r="W115" s="255"/>
      <c r="X115" s="252"/>
      <c r="Y115" s="276"/>
      <c r="AC115" s="303"/>
    </row>
    <row r="116" spans="1:29" s="6" customFormat="1" ht="28" thickTop="1" thickBot="1" x14ac:dyDescent="0.35">
      <c r="A116" s="842" t="s">
        <v>372</v>
      </c>
      <c r="B116" s="843"/>
      <c r="C116" s="843"/>
      <c r="D116" s="843"/>
      <c r="E116" s="843"/>
      <c r="F116" s="843"/>
      <c r="I116" s="256"/>
      <c r="M116" s="7" t="s">
        <v>19</v>
      </c>
      <c r="N116" s="8" t="s">
        <v>16</v>
      </c>
      <c r="O116" s="8" t="s">
        <v>17</v>
      </c>
      <c r="P116" s="8" t="s">
        <v>428</v>
      </c>
      <c r="Q116" s="8" t="s">
        <v>9</v>
      </c>
      <c r="R116" s="8" t="s">
        <v>18</v>
      </c>
      <c r="S116" s="9" t="s">
        <v>25</v>
      </c>
      <c r="T116" s="10" t="s">
        <v>26</v>
      </c>
      <c r="V116" s="11" t="s">
        <v>19</v>
      </c>
      <c r="W116" s="12" t="s">
        <v>23</v>
      </c>
      <c r="X116" s="13" t="s">
        <v>24</v>
      </c>
      <c r="Y116" s="380"/>
      <c r="AC116" s="303"/>
    </row>
    <row r="117" spans="1:29" s="6" customFormat="1" ht="41" thickBot="1" x14ac:dyDescent="0.35">
      <c r="A117" s="415" t="s">
        <v>88</v>
      </c>
      <c r="B117" s="416" t="s">
        <v>11</v>
      </c>
      <c r="C117" s="416" t="s">
        <v>12</v>
      </c>
      <c r="D117" s="416" t="s">
        <v>31</v>
      </c>
      <c r="E117" s="416" t="s">
        <v>341</v>
      </c>
      <c r="F117" s="416" t="s">
        <v>32</v>
      </c>
      <c r="H117" s="380"/>
      <c r="I117" s="380"/>
      <c r="J117" s="380"/>
      <c r="K117" s="539" t="s">
        <v>263</v>
      </c>
      <c r="M117" s="257">
        <v>0</v>
      </c>
      <c r="N117" s="258">
        <f>('Cost Data'!C57+'Cost Data'!C58)*F129</f>
        <v>0</v>
      </c>
      <c r="O117" s="258"/>
      <c r="P117" s="546">
        <f>IF(B$16="Single project",SUM('Cost Data'!C$49:C$50),(IF(B$16="Group of projects",SUM('Cost Data'!D$49:D$50),0)))</f>
        <v>2300</v>
      </c>
      <c r="Q117" s="259">
        <v>0</v>
      </c>
      <c r="R117" s="260">
        <f>IF(B$16="Single project",'Cost Data'!C$51,IF(B$16="Group of projects",'Cost Data'!D$51,0))</f>
        <v>2117</v>
      </c>
      <c r="S117" s="261">
        <f t="shared" ref="S117:S128" si="2">SUM(N117:R117)</f>
        <v>4417</v>
      </c>
      <c r="T117" s="262">
        <f>S117</f>
        <v>4417</v>
      </c>
      <c r="V117" s="257">
        <f t="shared" ref="V117:V129" si="3">M117</f>
        <v>0</v>
      </c>
      <c r="W117" s="185">
        <f>-S117</f>
        <v>-4417</v>
      </c>
      <c r="X117" s="263">
        <f>-S117</f>
        <v>-4417</v>
      </c>
      <c r="Y117" s="199"/>
      <c r="AC117" s="303"/>
    </row>
    <row r="118" spans="1:29" s="6" customFormat="1" ht="15" customHeight="1" x14ac:dyDescent="0.3">
      <c r="A118" s="418"/>
      <c r="B118" s="419"/>
      <c r="C118" s="419"/>
      <c r="D118" s="420"/>
      <c r="E118" s="421"/>
      <c r="F118" s="421"/>
      <c r="H118" s="512"/>
      <c r="I118" s="512"/>
      <c r="J118" s="512"/>
      <c r="K118" s="540"/>
      <c r="M118" s="257">
        <f t="shared" ref="M118:M129" si="4">A118</f>
        <v>0</v>
      </c>
      <c r="N118" s="258"/>
      <c r="O118" s="258">
        <f>IF($B$16="Single project",MAX(100,F118*'Cost Data'!$C$59),MAX(100/7,F118*'Cost Data'!$C$59))</f>
        <v>100</v>
      </c>
      <c r="P118" s="546">
        <f>IF(B$16="Single project",'Cost Data'!C$52,(IF(B$16="Group of projects",'Cost Data'!D$52,0)))</f>
        <v>2250</v>
      </c>
      <c r="Q118" s="259">
        <f>IF(B$17="Yes",'Cost Data'!E$61,IF(B$10&lt;=50,'Cost Data'!D$61,'Cost Data'!C$61))</f>
        <v>750</v>
      </c>
      <c r="R118" s="264">
        <f>IF(B$16="Single project",'Cost Data'!C$53,IF(B$16="Group of projects",'Cost Data'!D$53,0))</f>
        <v>2702</v>
      </c>
      <c r="S118" s="261">
        <f t="shared" si="2"/>
        <v>5802</v>
      </c>
      <c r="T118" s="262">
        <f t="shared" ref="T118:T128" si="5">T117+S118</f>
        <v>10219</v>
      </c>
      <c r="V118" s="257">
        <f t="shared" si="3"/>
        <v>0</v>
      </c>
      <c r="W118" s="185">
        <f>I118-S118</f>
        <v>-5802</v>
      </c>
      <c r="X118" s="263">
        <f>J118-T118</f>
        <v>-10219</v>
      </c>
      <c r="Y118" s="199"/>
      <c r="AC118" s="303"/>
    </row>
    <row r="119" spans="1:29" s="6" customFormat="1" ht="15" customHeight="1" x14ac:dyDescent="0.3">
      <c r="A119" s="422"/>
      <c r="B119" s="423"/>
      <c r="C119" s="423"/>
      <c r="D119" s="424"/>
      <c r="E119" s="425"/>
      <c r="F119" s="425"/>
      <c r="H119" s="512"/>
      <c r="I119" s="512"/>
      <c r="J119" s="512"/>
      <c r="K119" s="541"/>
      <c r="M119" s="257">
        <f t="shared" si="4"/>
        <v>0</v>
      </c>
      <c r="N119" s="258"/>
      <c r="O119" s="258">
        <f>IF($B$16="Single project",MAX(100,F119*'Cost Data'!$C$59),MAX(100/7,F119*'Cost Data'!$C$59))</f>
        <v>100</v>
      </c>
      <c r="P119" s="546">
        <f>IF(A119&lt;=$B$13,IF($B$16="Single project",'Cost Data'!$C$54,(IF($B$16="Group of projects",'Cost Data'!$D$54,0))),0)</f>
        <v>2250</v>
      </c>
      <c r="Q119" s="259">
        <f>IF(A119&lt;=B$13,IF(B$17="Yes",'Cost Data'!E$61,IF(B$10&lt;=50,'Cost Data'!D$61,'Cost Data'!C$61)),0)</f>
        <v>750</v>
      </c>
      <c r="R119" s="264">
        <f>IF(A119&lt;=B$13,(IF(B$16="Single project",'Cost Data'!C$55,IF(B$16="Group of projects",'Cost Data'!D$55,0))),0)</f>
        <v>2702</v>
      </c>
      <c r="S119" s="261">
        <f t="shared" si="2"/>
        <v>5802</v>
      </c>
      <c r="T119" s="262">
        <f t="shared" si="5"/>
        <v>16021</v>
      </c>
      <c r="V119" s="257">
        <f t="shared" si="3"/>
        <v>0</v>
      </c>
      <c r="W119" s="185">
        <f>IF($V119&lt;='Data Entry'!$B$13,I119-S119,0)</f>
        <v>-5802</v>
      </c>
      <c r="X119" s="263">
        <f>IF($V119&lt;='Data Entry'!$B$13,J119-T119,0)</f>
        <v>-16021</v>
      </c>
      <c r="Y119" s="199"/>
      <c r="AC119" s="303"/>
    </row>
    <row r="120" spans="1:29" s="6" customFormat="1" ht="15" customHeight="1" x14ac:dyDescent="0.3">
      <c r="A120" s="422"/>
      <c r="B120" s="423"/>
      <c r="C120" s="423"/>
      <c r="D120" s="424"/>
      <c r="E120" s="425"/>
      <c r="F120" s="425"/>
      <c r="H120" s="512"/>
      <c r="I120" s="512"/>
      <c r="J120" s="512"/>
      <c r="K120" s="541"/>
      <c r="M120" s="257">
        <f t="shared" si="4"/>
        <v>0</v>
      </c>
      <c r="N120" s="258"/>
      <c r="O120" s="258">
        <f>IF($B$16="Single project",MAX(100,F120*'Cost Data'!$C$59),MAX(100/7,F120*'Cost Data'!$C$59))</f>
        <v>100</v>
      </c>
      <c r="P120" s="546">
        <f>IF(A120&lt;=$B$13,IF($B$16="Single project",'Cost Data'!$C$54,(IF($B$16="Group of projects",'Cost Data'!$D$54,0))),0)</f>
        <v>2250</v>
      </c>
      <c r="Q120" s="259">
        <f>IF(A120&lt;=B$13,IF(B$17="Yes",'Cost Data'!E$61,IF(B$10&lt;=50,'Cost Data'!D$61,'Cost Data'!C$61)),0)</f>
        <v>750</v>
      </c>
      <c r="R120" s="264">
        <f>IF(A120&lt;=B$13,(IF(B$16="Single project",'Cost Data'!C$55,IF(B$16="Group of projects",'Cost Data'!D$55,0))),0)</f>
        <v>2702</v>
      </c>
      <c r="S120" s="261">
        <f t="shared" si="2"/>
        <v>5802</v>
      </c>
      <c r="T120" s="262">
        <f t="shared" si="5"/>
        <v>21823</v>
      </c>
      <c r="V120" s="257">
        <f t="shared" si="3"/>
        <v>0</v>
      </c>
      <c r="W120" s="185">
        <f>IF($V120&lt;='Data Entry'!$B$13,I120-S120,0)</f>
        <v>-5802</v>
      </c>
      <c r="X120" s="263">
        <f>IF($V120&lt;='Data Entry'!$B$13,J120-T120,0)</f>
        <v>-21823</v>
      </c>
      <c r="Y120" s="199"/>
      <c r="AC120" s="303"/>
    </row>
    <row r="121" spans="1:29" s="6" customFormat="1" ht="15" customHeight="1" x14ac:dyDescent="0.3">
      <c r="A121" s="422"/>
      <c r="B121" s="423"/>
      <c r="C121" s="423"/>
      <c r="D121" s="424"/>
      <c r="E121" s="425"/>
      <c r="F121" s="425"/>
      <c r="H121" s="512"/>
      <c r="I121" s="512"/>
      <c r="J121" s="512"/>
      <c r="K121" s="541"/>
      <c r="M121" s="257">
        <f t="shared" si="4"/>
        <v>0</v>
      </c>
      <c r="N121" s="258"/>
      <c r="O121" s="258">
        <f>IF(A121&lt;=$B$13,IF($B$16="Single project",MAX(100,F121*'Cost Data'!$C$59),MAX(100/7,F121*'Cost Data'!$C$59)),0)</f>
        <v>100</v>
      </c>
      <c r="P121" s="546">
        <f>IF(A121&lt;=$B$13,IF($B$16="Single project",'Cost Data'!$C$54,(IF($B$16="Group of projects",'Cost Data'!$D$54,0))),0)</f>
        <v>2250</v>
      </c>
      <c r="Q121" s="259">
        <f>IF(A121&lt;=B$13,IF(B$17="Yes",'Cost Data'!E$61,IF(B$10&lt;=50,'Cost Data'!D$61,'Cost Data'!C$61)),0)</f>
        <v>750</v>
      </c>
      <c r="R121" s="264">
        <f>IF(A121&lt;=B$13,(IF(B$16="Single project",'Cost Data'!C$55,IF(B$16="Group of projects",'Cost Data'!D$55,0))),0)</f>
        <v>2702</v>
      </c>
      <c r="S121" s="261">
        <f t="shared" si="2"/>
        <v>5802</v>
      </c>
      <c r="T121" s="262">
        <f t="shared" si="5"/>
        <v>27625</v>
      </c>
      <c r="V121" s="257">
        <f t="shared" si="3"/>
        <v>0</v>
      </c>
      <c r="W121" s="185">
        <f>IF($V121&lt;='Data Entry'!$B$13,I121-S121,0)</f>
        <v>-5802</v>
      </c>
      <c r="X121" s="263">
        <f>IF($V121&lt;='Data Entry'!$B$13,J121-T121,0)</f>
        <v>-27625</v>
      </c>
      <c r="Y121" s="199"/>
      <c r="AC121" s="303"/>
    </row>
    <row r="122" spans="1:29" s="6" customFormat="1" ht="15" customHeight="1" x14ac:dyDescent="0.3">
      <c r="A122" s="422"/>
      <c r="B122" s="423"/>
      <c r="C122" s="423"/>
      <c r="D122" s="424"/>
      <c r="E122" s="425"/>
      <c r="F122" s="425"/>
      <c r="H122" s="512"/>
      <c r="I122" s="512"/>
      <c r="J122" s="512"/>
      <c r="K122" s="541"/>
      <c r="M122" s="257">
        <f t="shared" si="4"/>
        <v>0</v>
      </c>
      <c r="N122" s="258"/>
      <c r="O122" s="258">
        <f>IF(A122&lt;=$B$13,IF($B$16="Single project",MAX(100,F122*'Cost Data'!$C$59),MAX(100/7,F122*'Cost Data'!$C$59)),0)</f>
        <v>100</v>
      </c>
      <c r="P122" s="546">
        <f>IF(A122&lt;=$B$13,IF($B$16="Single project",'Cost Data'!$C$54,(IF($B$16="Group of projects",'Cost Data'!$D$54,0))),0)</f>
        <v>2250</v>
      </c>
      <c r="Q122" s="259">
        <f>IF(A122&lt;=B$13,IF(B$17="Yes",'Cost Data'!E$61,IF(B$10&lt;=50,'Cost Data'!D$61,'Cost Data'!C$61)),0)</f>
        <v>750</v>
      </c>
      <c r="R122" s="264">
        <f>IF(A122&lt;=B$13,(IF(B$16="Single project",'Cost Data'!C$55,IF(B$16="Group of projects",'Cost Data'!D$55,0))),0)</f>
        <v>2702</v>
      </c>
      <c r="S122" s="261">
        <f t="shared" si="2"/>
        <v>5802</v>
      </c>
      <c r="T122" s="262">
        <f t="shared" si="5"/>
        <v>33427</v>
      </c>
      <c r="V122" s="257">
        <f t="shared" si="3"/>
        <v>0</v>
      </c>
      <c r="W122" s="185">
        <f>IF($V122&lt;='Data Entry'!$B$13,I122-S122,0)</f>
        <v>-5802</v>
      </c>
      <c r="X122" s="263">
        <f>IF($V122&lt;='Data Entry'!$B$13,J122-T122,0)</f>
        <v>-33427</v>
      </c>
      <c r="Y122" s="199"/>
      <c r="AC122" s="303"/>
    </row>
    <row r="123" spans="1:29" s="6" customFormat="1" ht="15" customHeight="1" x14ac:dyDescent="0.3">
      <c r="A123" s="422"/>
      <c r="B123" s="423"/>
      <c r="C123" s="423"/>
      <c r="D123" s="424"/>
      <c r="E123" s="425"/>
      <c r="F123" s="425"/>
      <c r="H123" s="512"/>
      <c r="I123" s="512"/>
      <c r="J123" s="512"/>
      <c r="K123" s="541"/>
      <c r="M123" s="257">
        <f t="shared" si="4"/>
        <v>0</v>
      </c>
      <c r="N123" s="258"/>
      <c r="O123" s="258">
        <f>IF(A123&lt;=$B$13,IF($B$16="Single project",MAX(100,F123*'Cost Data'!$C$59),MAX(100/7,F123*'Cost Data'!$C$59)),0)</f>
        <v>100</v>
      </c>
      <c r="P123" s="546">
        <f>IF(A123&lt;=$B$13,IF($B$16="Single project",'Cost Data'!$C$54,(IF($B$16="Group of projects",'Cost Data'!$D$54,0))),0)</f>
        <v>2250</v>
      </c>
      <c r="Q123" s="259">
        <f>IF(A123&lt;=B$13,IF(B$17="Yes",'Cost Data'!E$61,IF(B$10&lt;=50,'Cost Data'!D$61,'Cost Data'!C$61)),0)</f>
        <v>750</v>
      </c>
      <c r="R123" s="264">
        <f>IF(A123&lt;=B$13,(IF(B$16="Single project",'Cost Data'!C$55,IF(B$16="Group of projects",'Cost Data'!D$55,0))),0)</f>
        <v>2702</v>
      </c>
      <c r="S123" s="261">
        <f t="shared" si="2"/>
        <v>5802</v>
      </c>
      <c r="T123" s="262">
        <f t="shared" si="5"/>
        <v>39229</v>
      </c>
      <c r="V123" s="257">
        <f t="shared" si="3"/>
        <v>0</v>
      </c>
      <c r="W123" s="185">
        <f>IF($V123&lt;='Data Entry'!$B$13,I123-S123,0)</f>
        <v>-5802</v>
      </c>
      <c r="X123" s="263">
        <f>IF($V123&lt;='Data Entry'!$B$13,J123-T123,0)</f>
        <v>-39229</v>
      </c>
      <c r="Y123" s="199"/>
      <c r="AC123" s="303"/>
    </row>
    <row r="124" spans="1:29" s="6" customFormat="1" ht="15" customHeight="1" x14ac:dyDescent="0.3">
      <c r="A124" s="422"/>
      <c r="B124" s="423"/>
      <c r="C124" s="423"/>
      <c r="D124" s="424"/>
      <c r="E124" s="425"/>
      <c r="F124" s="425"/>
      <c r="H124" s="512"/>
      <c r="I124" s="512"/>
      <c r="J124" s="512"/>
      <c r="K124" s="541"/>
      <c r="M124" s="257">
        <f t="shared" si="4"/>
        <v>0</v>
      </c>
      <c r="N124" s="258"/>
      <c r="O124" s="258">
        <f>IF(A124&lt;=$B$13,IF($B$16="Single project",MAX(100,F124*'Cost Data'!$C$59),MAX(100/7,F124*'Cost Data'!$C$59)),0)</f>
        <v>100</v>
      </c>
      <c r="P124" s="546">
        <f>IF(A124&lt;=$B$13,IF($B$16="Single project",'Cost Data'!$C$54,(IF($B$16="Group of projects",'Cost Data'!$D$54,0))),0)</f>
        <v>2250</v>
      </c>
      <c r="Q124" s="259">
        <f>IF(A124&lt;=B$13,IF(B$17="Yes",'Cost Data'!E$61,IF(B$10&lt;=50,'Cost Data'!D$61,'Cost Data'!C$61)),0)</f>
        <v>750</v>
      </c>
      <c r="R124" s="264">
        <f>IF(A124&lt;=B$13,(IF(B$16="Single project",'Cost Data'!C$55,IF(B$16="Group of projects",'Cost Data'!D$55,0))),0)</f>
        <v>2702</v>
      </c>
      <c r="S124" s="261">
        <f t="shared" si="2"/>
        <v>5802</v>
      </c>
      <c r="T124" s="262">
        <f t="shared" si="5"/>
        <v>45031</v>
      </c>
      <c r="V124" s="257">
        <f t="shared" si="3"/>
        <v>0</v>
      </c>
      <c r="W124" s="185">
        <f>IF($V124&lt;='Data Entry'!$B$13,I124-S124,0)</f>
        <v>-5802</v>
      </c>
      <c r="X124" s="263">
        <f>IF($V124&lt;='Data Entry'!$B$13,J124-T124,0)</f>
        <v>-45031</v>
      </c>
      <c r="Y124" s="199"/>
      <c r="AC124" s="303"/>
    </row>
    <row r="125" spans="1:29" s="6" customFormat="1" ht="15" customHeight="1" x14ac:dyDescent="0.3">
      <c r="A125" s="422"/>
      <c r="B125" s="423"/>
      <c r="C125" s="423"/>
      <c r="D125" s="424"/>
      <c r="E125" s="425"/>
      <c r="F125" s="425"/>
      <c r="H125" s="512"/>
      <c r="I125" s="512"/>
      <c r="J125" s="512"/>
      <c r="K125" s="541"/>
      <c r="M125" s="257">
        <f t="shared" si="4"/>
        <v>0</v>
      </c>
      <c r="N125" s="258"/>
      <c r="O125" s="258">
        <f>IF(A125&lt;=$B$13,IF($B$16="Single project",MAX(100,F125*'Cost Data'!$C$59),MAX(100/7,F125*'Cost Data'!$C$59)),0)</f>
        <v>100</v>
      </c>
      <c r="P125" s="546">
        <f>IF(A125&lt;=$B$13,IF($B$16="Single project",'Cost Data'!$C$54,(IF($B$16="Group of projects",'Cost Data'!$D$54,0))),0)</f>
        <v>2250</v>
      </c>
      <c r="Q125" s="259">
        <f>IF(A125&lt;=B$13,IF(B$17="Yes",'Cost Data'!E$61,IF(B$10&lt;=50,'Cost Data'!D$61,'Cost Data'!C$61)),0)</f>
        <v>750</v>
      </c>
      <c r="R125" s="264">
        <f>IF(A125&lt;=B$13,(IF(B$16="Single project",'Cost Data'!C$55,IF(B$16="Group of projects",'Cost Data'!D$55,0))),0)</f>
        <v>2702</v>
      </c>
      <c r="S125" s="261">
        <f t="shared" si="2"/>
        <v>5802</v>
      </c>
      <c r="T125" s="262">
        <f t="shared" si="5"/>
        <v>50833</v>
      </c>
      <c r="V125" s="257">
        <f t="shared" si="3"/>
        <v>0</v>
      </c>
      <c r="W125" s="185">
        <f>IF($V125&lt;='Data Entry'!$B$13,I125-S125,0)</f>
        <v>-5802</v>
      </c>
      <c r="X125" s="263">
        <f>IF($V125&lt;='Data Entry'!$B$13,J125-T125,0)</f>
        <v>-50833</v>
      </c>
      <c r="Y125" s="199"/>
      <c r="AC125" s="303"/>
    </row>
    <row r="126" spans="1:29" s="6" customFormat="1" ht="15" customHeight="1" x14ac:dyDescent="0.3">
      <c r="A126" s="422"/>
      <c r="B126" s="423"/>
      <c r="C126" s="423"/>
      <c r="D126" s="424"/>
      <c r="E126" s="425"/>
      <c r="F126" s="425"/>
      <c r="H126" s="512"/>
      <c r="I126" s="512"/>
      <c r="J126" s="512"/>
      <c r="K126" s="541"/>
      <c r="M126" s="257">
        <f t="shared" si="4"/>
        <v>0</v>
      </c>
      <c r="N126" s="258"/>
      <c r="O126" s="258">
        <f>IF(A126&lt;=$B$13,IF($B$16="Single project",MAX(100,F126*'Cost Data'!$C$59),MAX(100/7,F126*'Cost Data'!$C$59)),0)</f>
        <v>100</v>
      </c>
      <c r="P126" s="546">
        <f>IF(A126&lt;=$B$13,IF($B$16="Single project",'Cost Data'!$C$54,(IF($B$16="Group of projects",'Cost Data'!$D$54,0))),0)</f>
        <v>2250</v>
      </c>
      <c r="Q126" s="259">
        <f>IF(A126&lt;=B$13,IF(B$17="Yes",'Cost Data'!E$61,IF(B$10&lt;=50,'Cost Data'!D$61,'Cost Data'!C$61)),0)</f>
        <v>750</v>
      </c>
      <c r="R126" s="264">
        <f>IF(A126&lt;=B$13,(IF(B$16="Single project",'Cost Data'!C$55,IF(B$16="Group of projects",'Cost Data'!D$55,0))),0)</f>
        <v>2702</v>
      </c>
      <c r="S126" s="261">
        <f t="shared" si="2"/>
        <v>5802</v>
      </c>
      <c r="T126" s="262">
        <f t="shared" si="5"/>
        <v>56635</v>
      </c>
      <c r="V126" s="257">
        <f t="shared" si="3"/>
        <v>0</v>
      </c>
      <c r="W126" s="185">
        <f>IF($V126&lt;='Data Entry'!$B$13,I126-S126,0)</f>
        <v>-5802</v>
      </c>
      <c r="X126" s="263">
        <f>IF($V126&lt;='Data Entry'!$B$13,J126-T126,0)</f>
        <v>-56635</v>
      </c>
      <c r="Y126" s="199"/>
      <c r="AC126" s="303"/>
    </row>
    <row r="127" spans="1:29" s="6" customFormat="1" ht="15" customHeight="1" x14ac:dyDescent="0.3">
      <c r="A127" s="426"/>
      <c r="B127" s="423"/>
      <c r="C127" s="423"/>
      <c r="D127" s="427"/>
      <c r="E127" s="425"/>
      <c r="F127" s="425"/>
      <c r="H127" s="512"/>
      <c r="I127" s="512"/>
      <c r="J127" s="512"/>
      <c r="K127" s="541"/>
      <c r="M127" s="257">
        <f t="shared" si="4"/>
        <v>0</v>
      </c>
      <c r="N127" s="258"/>
      <c r="O127" s="258">
        <f>IF(A127&lt;=$B$13,IF($B$16="Single project",MAX(100,F127*'Cost Data'!$C$59),MAX(100/7,F127*'Cost Data'!$C$59)),0)</f>
        <v>100</v>
      </c>
      <c r="P127" s="546">
        <f>IF(A127&lt;=$B$13,IF($B$16="Single project",'Cost Data'!$C$54,(IF($B$16="Group of projects",'Cost Data'!$D$54,0))),0)</f>
        <v>2250</v>
      </c>
      <c r="Q127" s="259">
        <f>IF(A127&lt;=B$13,IF(B$17="Yes",'Cost Data'!E$61,IF(B$10&lt;=50,'Cost Data'!D$61,'Cost Data'!C$61)),0)</f>
        <v>750</v>
      </c>
      <c r="R127" s="264">
        <f>IF(A127&lt;=B$13,(IF(B$16="Single project",'Cost Data'!C$55,IF(B$16="Group of projects",'Cost Data'!D$55,0))),0)</f>
        <v>2702</v>
      </c>
      <c r="S127" s="261">
        <f t="shared" si="2"/>
        <v>5802</v>
      </c>
      <c r="T127" s="262">
        <f t="shared" si="5"/>
        <v>62437</v>
      </c>
      <c r="V127" s="257">
        <f t="shared" si="3"/>
        <v>0</v>
      </c>
      <c r="W127" s="185">
        <f>IF($V127&lt;='Data Entry'!$B$13,I127-S127,0)</f>
        <v>-5802</v>
      </c>
      <c r="X127" s="263">
        <f>IF($V127&lt;='Data Entry'!$B$13,J127-T127,0)</f>
        <v>-62437</v>
      </c>
      <c r="Y127" s="199"/>
      <c r="AC127" s="303"/>
    </row>
    <row r="128" spans="1:29" s="6" customFormat="1" ht="15" customHeight="1" thickBot="1" x14ac:dyDescent="0.35">
      <c r="A128" s="428"/>
      <c r="B128" s="429"/>
      <c r="C128" s="429"/>
      <c r="D128" s="430"/>
      <c r="E128" s="431"/>
      <c r="F128" s="431"/>
      <c r="H128" s="512"/>
      <c r="I128" s="512"/>
      <c r="J128" s="512"/>
      <c r="K128" s="542"/>
      <c r="M128" s="257">
        <f t="shared" si="4"/>
        <v>0</v>
      </c>
      <c r="N128" s="258"/>
      <c r="O128" s="258">
        <f>IF(A128&lt;=$B$13,IF($B$16="Single project",MAX(100,F128*'Cost Data'!$C$59),MAX(100/7,F128*'Cost Data'!$C$59)),0)</f>
        <v>100</v>
      </c>
      <c r="P128" s="546">
        <f>IF(A128&lt;=$B$13,IF($B$16="Single project",'Cost Data'!$C$54,(IF($B$16="Group of projects",'Cost Data'!$D$54,0))),0)</f>
        <v>2250</v>
      </c>
      <c r="Q128" s="259">
        <f>IF(A128&lt;=B$13,IF(B$17="Yes",'Cost Data'!E$61,IF(B$10&lt;=50,'Cost Data'!D$61,'Cost Data'!C$61)),0)</f>
        <v>750</v>
      </c>
      <c r="R128" s="264">
        <f>IF(A128&lt;=B$13,(IF(B$16="Single project",'Cost Data'!C$55,IF(B$16="Group of projects",'Cost Data'!D$55,0))),0)</f>
        <v>2702</v>
      </c>
      <c r="S128" s="261">
        <f t="shared" si="2"/>
        <v>5802</v>
      </c>
      <c r="T128" s="262">
        <f t="shared" si="5"/>
        <v>68239</v>
      </c>
      <c r="V128" s="257">
        <f t="shared" si="3"/>
        <v>0</v>
      </c>
      <c r="W128" s="185">
        <f>IF($V128&lt;='Data Entry'!$B$13,I128-S128,0)</f>
        <v>-5802</v>
      </c>
      <c r="X128" s="263">
        <f>IF($V128&lt;='Data Entry'!$B$13,J128-T128,0)</f>
        <v>-68239</v>
      </c>
      <c r="Y128" s="199"/>
      <c r="AC128" s="303"/>
    </row>
    <row r="129" spans="1:29" s="6" customFormat="1" ht="15" customHeight="1" thickBot="1" x14ac:dyDescent="0.35">
      <c r="A129" s="375" t="s">
        <v>7</v>
      </c>
      <c r="B129" s="376"/>
      <c r="C129" s="376"/>
      <c r="D129" s="411"/>
      <c r="E129" s="411"/>
      <c r="F129" s="411"/>
      <c r="H129" s="513"/>
      <c r="I129" s="516"/>
      <c r="J129" s="516"/>
      <c r="K129" s="543">
        <f>F129*'Income Data'!K4</f>
        <v>0</v>
      </c>
      <c r="M129" s="265" t="str">
        <f t="shared" si="4"/>
        <v>Total</v>
      </c>
      <c r="N129" s="266">
        <f>SUM(N117:N128)</f>
        <v>0</v>
      </c>
      <c r="O129" s="266">
        <f t="shared" ref="O129:S129" si="6">SUM(O117:O128)</f>
        <v>1100</v>
      </c>
      <c r="P129" s="266">
        <f t="shared" ref="P129" si="7">SUM(P117:P128)</f>
        <v>27050</v>
      </c>
      <c r="Q129" s="266">
        <f t="shared" si="6"/>
        <v>8250</v>
      </c>
      <c r="R129" s="266">
        <f t="shared" si="6"/>
        <v>31839</v>
      </c>
      <c r="S129" s="267">
        <f t="shared" si="6"/>
        <v>68239</v>
      </c>
      <c r="T129" s="268">
        <f>T128</f>
        <v>68239</v>
      </c>
      <c r="V129" s="269" t="str">
        <f t="shared" si="3"/>
        <v>Total</v>
      </c>
      <c r="W129" s="270">
        <f>SUM(W117:W128)</f>
        <v>-68239</v>
      </c>
      <c r="X129" s="271"/>
      <c r="Y129" s="509"/>
      <c r="AC129" s="303"/>
    </row>
    <row r="130" spans="1:29" s="6" customFormat="1" ht="14" thickBot="1" x14ac:dyDescent="0.35">
      <c r="A130" s="595"/>
      <c r="B130" s="276"/>
      <c r="C130" s="596" t="s">
        <v>342</v>
      </c>
      <c r="D130" s="594"/>
      <c r="E130" s="594"/>
      <c r="F130" s="594"/>
      <c r="H130" s="514"/>
      <c r="I130" s="514"/>
      <c r="W130" s="272"/>
      <c r="AC130" s="303"/>
    </row>
    <row r="131" spans="1:29" s="6" customFormat="1" ht="28" thickTop="1" thickBot="1" x14ac:dyDescent="0.35">
      <c r="A131" s="842" t="s">
        <v>374</v>
      </c>
      <c r="B131" s="843"/>
      <c r="C131" s="843"/>
      <c r="D131" s="843"/>
      <c r="E131" s="843"/>
      <c r="F131" s="843"/>
      <c r="M131" s="14" t="s">
        <v>19</v>
      </c>
      <c r="N131" s="15" t="s">
        <v>16</v>
      </c>
      <c r="O131" s="15" t="s">
        <v>17</v>
      </c>
      <c r="P131" s="15" t="s">
        <v>428</v>
      </c>
      <c r="Q131" s="15" t="s">
        <v>9</v>
      </c>
      <c r="R131" s="16" t="s">
        <v>18</v>
      </c>
      <c r="S131" s="17" t="s">
        <v>25</v>
      </c>
      <c r="T131" s="18" t="s">
        <v>26</v>
      </c>
      <c r="V131" s="11" t="s">
        <v>19</v>
      </c>
      <c r="W131" s="12" t="s">
        <v>23</v>
      </c>
      <c r="X131" s="13" t="s">
        <v>24</v>
      </c>
      <c r="Y131" s="380"/>
      <c r="AC131" s="303"/>
    </row>
    <row r="132" spans="1:29" s="6" customFormat="1" ht="54.5" thickBot="1" x14ac:dyDescent="0.35">
      <c r="A132" s="413" t="s">
        <v>10</v>
      </c>
      <c r="B132" s="414" t="s">
        <v>11</v>
      </c>
      <c r="C132" s="414" t="s">
        <v>12</v>
      </c>
      <c r="D132" s="414" t="s">
        <v>31</v>
      </c>
      <c r="E132" s="414" t="s">
        <v>341</v>
      </c>
      <c r="F132" s="414" t="s">
        <v>32</v>
      </c>
      <c r="H132" s="380"/>
      <c r="I132" s="380"/>
      <c r="J132" s="380"/>
      <c r="K132" s="520" t="s">
        <v>262</v>
      </c>
      <c r="M132" s="273">
        <v>0</v>
      </c>
      <c r="N132" s="258">
        <f>('Cost Data'!C57+'Cost Data'!C58)*F146</f>
        <v>0</v>
      </c>
      <c r="O132" s="258"/>
      <c r="P132" s="546">
        <f>IF(B$16="Single project",SUM('Cost Data'!C$49:C$50),(IF(B$16="Group of projects",SUM('Cost Data'!D$49:D$50),0)))</f>
        <v>2300</v>
      </c>
      <c r="Q132" s="259"/>
      <c r="R132" s="260">
        <f>IF(B$16="Single project",'Cost Data'!C$51,IF(B$16="Group of projects",'Cost Data'!D$51,0))</f>
        <v>2117</v>
      </c>
      <c r="S132" s="274">
        <f>SUM(N132:R132)</f>
        <v>4417</v>
      </c>
      <c r="T132" s="275">
        <f>S132</f>
        <v>4417</v>
      </c>
      <c r="V132" s="257">
        <v>0</v>
      </c>
      <c r="W132" s="185">
        <f>-S132</f>
        <v>-4417</v>
      </c>
      <c r="X132" s="263">
        <f>-S132</f>
        <v>-4417</v>
      </c>
      <c r="Y132" s="199"/>
      <c r="AC132" s="303"/>
    </row>
    <row r="133" spans="1:29" s="6" customFormat="1" ht="15" customHeight="1" x14ac:dyDescent="0.3">
      <c r="A133" s="432"/>
      <c r="B133" s="434"/>
      <c r="C133" s="435"/>
      <c r="D133" s="434"/>
      <c r="E133" s="435"/>
      <c r="F133" s="435"/>
      <c r="H133" s="512"/>
      <c r="I133" s="272"/>
      <c r="J133" s="272"/>
      <c r="K133" s="522"/>
      <c r="M133" s="273">
        <f t="shared" ref="M133:M145" si="8">A133</f>
        <v>0</v>
      </c>
      <c r="N133" s="258"/>
      <c r="O133" s="258">
        <f>IF($B$16="Single project",MAX(100,F133*'Cost Data'!$C$59),MAX(100/7,F133*'Cost Data'!$C$59))</f>
        <v>100</v>
      </c>
      <c r="P133" s="546">
        <f>IF(B$16="Single project",'Cost Data'!C$52,(IF(B$16="Group of projects",'Cost Data'!D$52,0)))</f>
        <v>2250</v>
      </c>
      <c r="Q133" s="259">
        <f>IF(B$17="Yes",'Cost Data'!E$61,IF(B$10&lt;=50,'Cost Data'!D$61,'Cost Data'!C$61))</f>
        <v>750</v>
      </c>
      <c r="R133" s="264">
        <f>IF(B$16="Single project",'Cost Data'!C$53,IF(B$16="Group of projects",'Cost Data'!D$53,0))</f>
        <v>2702</v>
      </c>
      <c r="S133" s="274">
        <f>SUM(N133:R133)</f>
        <v>5802</v>
      </c>
      <c r="T133" s="275">
        <f>T132+S133</f>
        <v>10219</v>
      </c>
      <c r="V133" s="257">
        <f t="shared" ref="V133:V144" si="9">M133</f>
        <v>0</v>
      </c>
      <c r="W133" s="185">
        <f t="shared" ref="W133:X136" si="10">I133-S133</f>
        <v>-5802</v>
      </c>
      <c r="X133" s="263">
        <f t="shared" si="10"/>
        <v>-10219</v>
      </c>
      <c r="Y133" s="199"/>
      <c r="AC133" s="303"/>
    </row>
    <row r="134" spans="1:29" s="6" customFormat="1" ht="15" customHeight="1" x14ac:dyDescent="0.3">
      <c r="A134" s="436"/>
      <c r="B134" s="438"/>
      <c r="C134" s="439"/>
      <c r="D134" s="438"/>
      <c r="E134" s="439"/>
      <c r="F134" s="439"/>
      <c r="H134" s="512"/>
      <c r="I134" s="272"/>
      <c r="J134" s="272"/>
      <c r="K134" s="523"/>
      <c r="M134" s="273">
        <f t="shared" si="8"/>
        <v>0</v>
      </c>
      <c r="N134" s="258"/>
      <c r="O134" s="258">
        <f>IF(A134&lt;=$B$13,IF($B$16="Single project",MAX(100,F134*'Cost Data'!$C$59),MAX(100/7,F134*'Cost Data'!$C$59)),0)</f>
        <v>100</v>
      </c>
      <c r="P134" s="546">
        <f>IF(A134&lt;=$B$13,IF($B$16="Single project",'Cost Data'!$C$54,(IF($B$16="Group of projects",'Cost Data'!$D$54,0))),0)</f>
        <v>2250</v>
      </c>
      <c r="Q134" s="259">
        <f>IF(A134&lt;=B$13,IF(B$17="Yes",'Cost Data'!E$61,IF(B$10&lt;=50,'Cost Data'!D$61,'Cost Data'!C$61)),0)</f>
        <v>750</v>
      </c>
      <c r="R134" s="264">
        <f>IF(A134&lt;=B$13,(IF(B$16="Single project",'Cost Data'!C$55,IF(B$16="Group of projects",'Cost Data'!D$55,0))),0)</f>
        <v>2702</v>
      </c>
      <c r="S134" s="274">
        <f>SUM(N134:R134)</f>
        <v>5802</v>
      </c>
      <c r="T134" s="275">
        <f>T133+S134</f>
        <v>16021</v>
      </c>
      <c r="V134" s="257">
        <f t="shared" si="9"/>
        <v>0</v>
      </c>
      <c r="W134" s="185">
        <f t="shared" si="10"/>
        <v>-5802</v>
      </c>
      <c r="X134" s="263">
        <f t="shared" si="10"/>
        <v>-16021</v>
      </c>
      <c r="Y134" s="199"/>
      <c r="AC134" s="303"/>
    </row>
    <row r="135" spans="1:29" s="6" customFormat="1" ht="15" customHeight="1" x14ac:dyDescent="0.3">
      <c r="A135" s="436"/>
      <c r="B135" s="438"/>
      <c r="C135" s="439"/>
      <c r="D135" s="438"/>
      <c r="E135" s="439"/>
      <c r="F135" s="439"/>
      <c r="H135" s="512"/>
      <c r="I135" s="272"/>
      <c r="J135" s="272"/>
      <c r="K135" s="523"/>
      <c r="M135" s="273">
        <f t="shared" si="8"/>
        <v>0</v>
      </c>
      <c r="N135" s="258"/>
      <c r="O135" s="258">
        <f>IF(A135&lt;=$B$13,IF($B$16="Single project",MAX(100,F135*'Cost Data'!$C$59),MAX(100/7,F135*'Cost Data'!$C$59)),0)</f>
        <v>100</v>
      </c>
      <c r="P135" s="546">
        <f>IF(A135&lt;=$B$13,IF($B$16="Single project",'Cost Data'!$C$54,(IF($B$16="Group of projects",'Cost Data'!$D$54,0))),0)</f>
        <v>2250</v>
      </c>
      <c r="Q135" s="259">
        <f>IF(A135&lt;=B$13,IF(B$17="Yes",'Cost Data'!E$61,IF(B$10&lt;=50,'Cost Data'!D$61,'Cost Data'!C$61)),0)</f>
        <v>750</v>
      </c>
      <c r="R135" s="264">
        <f>IF(A135&lt;=B$13,(IF(B$16="Single project",'Cost Data'!C$55,IF(B$16="Group of projects",'Cost Data'!D$55,0))),0)</f>
        <v>2702</v>
      </c>
      <c r="S135" s="274">
        <f>SUM(N135:R135)</f>
        <v>5802</v>
      </c>
      <c r="T135" s="275">
        <f>T134+S135</f>
        <v>21823</v>
      </c>
      <c r="V135" s="257">
        <f t="shared" si="9"/>
        <v>0</v>
      </c>
      <c r="W135" s="185">
        <f t="shared" si="10"/>
        <v>-5802</v>
      </c>
      <c r="X135" s="263">
        <f t="shared" si="10"/>
        <v>-21823</v>
      </c>
      <c r="Y135" s="199"/>
      <c r="AC135" s="303"/>
    </row>
    <row r="136" spans="1:29" s="6" customFormat="1" ht="15" customHeight="1" thickBot="1" x14ac:dyDescent="0.35">
      <c r="A136" s="440"/>
      <c r="B136" s="443"/>
      <c r="C136" s="439"/>
      <c r="D136" s="443"/>
      <c r="E136" s="439"/>
      <c r="F136" s="439"/>
      <c r="H136" s="512"/>
      <c r="I136" s="272"/>
      <c r="J136" s="272"/>
      <c r="K136" s="523"/>
      <c r="M136" s="273">
        <f t="shared" si="8"/>
        <v>0</v>
      </c>
      <c r="N136" s="258"/>
      <c r="O136" s="258">
        <f>IF(A136&lt;=$B$13,IF($B$16="Single project",MAX(100,F136*'Cost Data'!$C$59),MAX(100/7,F136*'Cost Data'!$C$59)),0)</f>
        <v>100</v>
      </c>
      <c r="P136" s="546">
        <f>IF(A136&lt;=$B$13,IF($B$16="Single project",'Cost Data'!$C$54,(IF($B$16="Group of projects",'Cost Data'!$D$54,0))),0)</f>
        <v>2250</v>
      </c>
      <c r="Q136" s="259">
        <f>IF(A136&lt;=B$13,IF(B$17="Yes",'Cost Data'!E$61,IF(B$10&lt;=50,'Cost Data'!D$61,'Cost Data'!C$61)),0)</f>
        <v>750</v>
      </c>
      <c r="R136" s="264">
        <f>IF(A136&lt;=B$13,(IF(B$16="Single project",'Cost Data'!C$55,IF(B$16="Group of projects",'Cost Data'!D$55,0))),0)</f>
        <v>2702</v>
      </c>
      <c r="S136" s="274">
        <f>SUM(N136:R136)</f>
        <v>5802</v>
      </c>
      <c r="T136" s="275">
        <f>T135+S136</f>
        <v>27625</v>
      </c>
      <c r="V136" s="257">
        <f t="shared" si="9"/>
        <v>0</v>
      </c>
      <c r="W136" s="185">
        <f t="shared" si="10"/>
        <v>-5802</v>
      </c>
      <c r="X136" s="263">
        <f t="shared" si="10"/>
        <v>-27625</v>
      </c>
      <c r="Y136" s="199"/>
      <c r="AC136" s="303"/>
    </row>
    <row r="137" spans="1:29" s="6" customFormat="1" ht="15" customHeight="1" thickBot="1" x14ac:dyDescent="0.35">
      <c r="A137" s="395" t="s">
        <v>13</v>
      </c>
      <c r="B137" s="396"/>
      <c r="C137" s="397"/>
      <c r="D137" s="398"/>
      <c r="E137" s="398"/>
      <c r="F137" s="398"/>
      <c r="H137" s="515"/>
      <c r="I137" s="517"/>
      <c r="J137" s="517"/>
      <c r="K137" s="524"/>
      <c r="L137" s="276"/>
      <c r="M137" s="277" t="str">
        <f t="shared" si="8"/>
        <v>Subtotal - claimable under WCaG to f/y 2055/56</v>
      </c>
      <c r="N137" s="278">
        <f t="shared" ref="N137:S137" si="11">SUM(N132:N136)</f>
        <v>0</v>
      </c>
      <c r="O137" s="278">
        <f t="shared" si="11"/>
        <v>400</v>
      </c>
      <c r="P137" s="278">
        <f t="shared" si="11"/>
        <v>11300</v>
      </c>
      <c r="Q137" s="278">
        <f t="shared" si="11"/>
        <v>3000</v>
      </c>
      <c r="R137" s="279">
        <f t="shared" si="11"/>
        <v>12925</v>
      </c>
      <c r="S137" s="280">
        <f t="shared" si="11"/>
        <v>27625</v>
      </c>
      <c r="T137" s="281">
        <f>T136</f>
        <v>27625</v>
      </c>
      <c r="U137" s="276"/>
      <c r="V137" s="282" t="str">
        <f t="shared" si="9"/>
        <v>Subtotal - claimable under WCaG to f/y 2055/56</v>
      </c>
      <c r="W137" s="283">
        <f>SUM(W132:W136)</f>
        <v>-27625</v>
      </c>
      <c r="X137" s="284">
        <f>X136</f>
        <v>-27625</v>
      </c>
      <c r="Y137" s="379"/>
      <c r="AC137" s="303"/>
    </row>
    <row r="138" spans="1:29" s="6" customFormat="1" ht="15" customHeight="1" x14ac:dyDescent="0.3">
      <c r="A138" s="432"/>
      <c r="B138" s="433"/>
      <c r="C138" s="433"/>
      <c r="D138" s="434"/>
      <c r="E138" s="439"/>
      <c r="F138" s="439"/>
      <c r="H138" s="512"/>
      <c r="I138" s="512"/>
      <c r="J138" s="272"/>
      <c r="K138" s="523"/>
      <c r="M138" s="273">
        <f t="shared" si="8"/>
        <v>0</v>
      </c>
      <c r="N138" s="258"/>
      <c r="O138" s="258">
        <f>IF(A138&lt;=$B$13,IF($B$16="Single project",MAX(100,F138*'Cost Data'!$C$59),MAX(100/7,F138*'Cost Data'!$C$59)),0)</f>
        <v>100</v>
      </c>
      <c r="P138" s="546">
        <f>IF(A138&lt;=$B$13,IF($B$16="Single project",'Cost Data'!$C$54,(IF($B$16="Group of projects",'Cost Data'!$D$54,0))),0)</f>
        <v>2250</v>
      </c>
      <c r="Q138" s="259">
        <f>IF(A138&lt;=B$13,IF(B$17="Yes",'Cost Data'!E$61,IF(B$10&lt;=50,'Cost Data'!D$61,'Cost Data'!C$61)),0)</f>
        <v>750</v>
      </c>
      <c r="R138" s="264">
        <f>IF(A138&lt;=B$13,(IF(B$16="Single project",'Cost Data'!C$55,IF(B$16="Group of projects",'Cost Data'!D$55,0))),0)</f>
        <v>2702</v>
      </c>
      <c r="S138" s="274">
        <f t="shared" ref="S138:S144" si="12">SUM(N138:R138)</f>
        <v>5802</v>
      </c>
      <c r="T138" s="275">
        <f>T136+S138</f>
        <v>33427</v>
      </c>
      <c r="V138" s="257">
        <f t="shared" si="9"/>
        <v>0</v>
      </c>
      <c r="W138" s="185">
        <f>IF(M138&lt;='Data Entry'!$B$13,I138-S138,0)</f>
        <v>-5802</v>
      </c>
      <c r="X138" s="263">
        <f>IF(M138&lt;='Data Entry'!$B$13,J138-T138,0)</f>
        <v>-33427</v>
      </c>
      <c r="Y138" s="199"/>
      <c r="AC138" s="303"/>
    </row>
    <row r="139" spans="1:29" s="6" customFormat="1" ht="15" customHeight="1" x14ac:dyDescent="0.3">
      <c r="A139" s="436"/>
      <c r="B139" s="437"/>
      <c r="C139" s="437"/>
      <c r="D139" s="438"/>
      <c r="E139" s="439"/>
      <c r="F139" s="439"/>
      <c r="H139" s="512"/>
      <c r="I139" s="512"/>
      <c r="J139" s="272"/>
      <c r="K139" s="523"/>
      <c r="M139" s="273">
        <f t="shared" si="8"/>
        <v>0</v>
      </c>
      <c r="N139" s="258"/>
      <c r="O139" s="258">
        <f>IF(A139&lt;=$B$13,IF($B$16="Single project",MAX(100,F139*'Cost Data'!$C$59),MAX(100/7,F139*'Cost Data'!$C$59)),0)</f>
        <v>100</v>
      </c>
      <c r="P139" s="546">
        <f>IF(A139&lt;=$B$13,IF($B$16="Single project",'Cost Data'!$C$54,(IF($B$16="Group of projects",'Cost Data'!$D$54,0))),0)</f>
        <v>2250</v>
      </c>
      <c r="Q139" s="259">
        <f>IF(A139&lt;=B$13,IF(B$17="Yes",'Cost Data'!E$61,IF(B$10&lt;=50,'Cost Data'!D$61,'Cost Data'!C$61)),0)</f>
        <v>750</v>
      </c>
      <c r="R139" s="264">
        <f>IF(A139&lt;=B$13,(IF(B$16="Single project",'Cost Data'!C$55,IF(B$16="Group of projects",'Cost Data'!D$55,0))),0)</f>
        <v>2702</v>
      </c>
      <c r="S139" s="274">
        <f t="shared" si="12"/>
        <v>5802</v>
      </c>
      <c r="T139" s="275">
        <f t="shared" ref="T139:T144" si="13">T138+S139</f>
        <v>39229</v>
      </c>
      <c r="V139" s="257">
        <f t="shared" si="9"/>
        <v>0</v>
      </c>
      <c r="W139" s="185">
        <f>IF(M139&lt;='Data Entry'!$B$13,I139-S139,0)</f>
        <v>-5802</v>
      </c>
      <c r="X139" s="263">
        <f>IF(M139&lt;='Data Entry'!$B$13,J139-T139,0)</f>
        <v>-39229</v>
      </c>
      <c r="Y139" s="199"/>
      <c r="AC139" s="303"/>
    </row>
    <row r="140" spans="1:29" s="6" customFormat="1" ht="15" customHeight="1" x14ac:dyDescent="0.3">
      <c r="A140" s="436"/>
      <c r="B140" s="437"/>
      <c r="C140" s="437"/>
      <c r="D140" s="438"/>
      <c r="E140" s="439"/>
      <c r="F140" s="439"/>
      <c r="H140" s="512"/>
      <c r="I140" s="512"/>
      <c r="J140" s="272"/>
      <c r="K140" s="523"/>
      <c r="M140" s="273">
        <f t="shared" si="8"/>
        <v>0</v>
      </c>
      <c r="N140" s="258"/>
      <c r="O140" s="258">
        <f>IF(A140&lt;=$B$13,IF($B$16="Single project",MAX(100,F140*'Cost Data'!$C$59),MAX(100/7,F140*'Cost Data'!$C$59)),0)</f>
        <v>100</v>
      </c>
      <c r="P140" s="546">
        <f>IF(A140&lt;=$B$13,IF($B$16="Single project",'Cost Data'!$C$54,(IF($B$16="Group of projects",'Cost Data'!$D$54,0))),0)</f>
        <v>2250</v>
      </c>
      <c r="Q140" s="259">
        <f>IF(A140&lt;=B$13,IF(B$17="Yes",'Cost Data'!E$61,IF(B$10&lt;=50,'Cost Data'!D$61,'Cost Data'!C$61)),0)</f>
        <v>750</v>
      </c>
      <c r="R140" s="264">
        <f>IF(A140&lt;=B$13,(IF(B$16="Single project",'Cost Data'!C$55,IF(B$16="Group of projects",'Cost Data'!D$55,0))),0)</f>
        <v>2702</v>
      </c>
      <c r="S140" s="274">
        <f t="shared" si="12"/>
        <v>5802</v>
      </c>
      <c r="T140" s="275">
        <f t="shared" si="13"/>
        <v>45031</v>
      </c>
      <c r="V140" s="257">
        <f t="shared" si="9"/>
        <v>0</v>
      </c>
      <c r="W140" s="185">
        <f>IF(M140&lt;='Data Entry'!$B$13,I140-S140,0)</f>
        <v>-5802</v>
      </c>
      <c r="X140" s="263">
        <f>IF(M140&lt;='Data Entry'!$B$13,J140-T140,0)</f>
        <v>-45031</v>
      </c>
      <c r="Y140" s="199"/>
      <c r="AC140" s="303"/>
    </row>
    <row r="141" spans="1:29" s="6" customFormat="1" ht="15" customHeight="1" x14ac:dyDescent="0.3">
      <c r="A141" s="436"/>
      <c r="B141" s="437"/>
      <c r="C141" s="437"/>
      <c r="D141" s="438"/>
      <c r="E141" s="439"/>
      <c r="F141" s="439"/>
      <c r="H141" s="512"/>
      <c r="I141" s="512"/>
      <c r="J141" s="272"/>
      <c r="K141" s="523"/>
      <c r="M141" s="273">
        <f t="shared" si="8"/>
        <v>0</v>
      </c>
      <c r="N141" s="258"/>
      <c r="O141" s="258">
        <f>IF(A141&lt;=$B$13,IF($B$16="Single project",MAX(100,F141*'Cost Data'!$C$59),MAX(100/7,F141*'Cost Data'!$C$59)),0)</f>
        <v>100</v>
      </c>
      <c r="P141" s="546">
        <f>IF(A141&lt;=$B$13,IF($B$16="Single project",'Cost Data'!$C$54,(IF($B$16="Group of projects",'Cost Data'!$D$54,0))),0)</f>
        <v>2250</v>
      </c>
      <c r="Q141" s="259">
        <f>IF(A141&lt;=B$13,IF(B$17="Yes",'Cost Data'!E$61,IF(B$10&lt;=50,'Cost Data'!D$61,'Cost Data'!C$61)),0)</f>
        <v>750</v>
      </c>
      <c r="R141" s="264">
        <f>IF(A141&lt;=B$13,(IF(B$16="Single project",'Cost Data'!C$55,IF(B$16="Group of projects",'Cost Data'!D$55,0))),0)</f>
        <v>2702</v>
      </c>
      <c r="S141" s="274">
        <f t="shared" si="12"/>
        <v>5802</v>
      </c>
      <c r="T141" s="275">
        <f t="shared" si="13"/>
        <v>50833</v>
      </c>
      <c r="V141" s="257">
        <f t="shared" si="9"/>
        <v>0</v>
      </c>
      <c r="W141" s="185">
        <f>IF(M141&lt;='Data Entry'!$B$13,I141-S141,0)</f>
        <v>-5802</v>
      </c>
      <c r="X141" s="263">
        <f>IF(M141&lt;='Data Entry'!$B$13,J141-T141,0)</f>
        <v>-50833</v>
      </c>
      <c r="Y141" s="199"/>
      <c r="AC141" s="303"/>
    </row>
    <row r="142" spans="1:29" s="6" customFormat="1" ht="15" customHeight="1" x14ac:dyDescent="0.3">
      <c r="A142" s="436"/>
      <c r="B142" s="437"/>
      <c r="C142" s="437"/>
      <c r="D142" s="438"/>
      <c r="E142" s="439"/>
      <c r="F142" s="439"/>
      <c r="H142" s="512"/>
      <c r="I142" s="512"/>
      <c r="J142" s="272"/>
      <c r="K142" s="523"/>
      <c r="M142" s="273">
        <f t="shared" si="8"/>
        <v>0</v>
      </c>
      <c r="N142" s="258"/>
      <c r="O142" s="258">
        <f>IF(A142&lt;=$B$13,IF($B$16="Single project",MAX(100,F142*'Cost Data'!$C$59),MAX(100/7,F142*'Cost Data'!$C$59)),0)</f>
        <v>100</v>
      </c>
      <c r="P142" s="546">
        <f>IF(A142&lt;=$B$13,IF($B$16="Single project",'Cost Data'!$C$54,(IF($B$16="Group of projects",'Cost Data'!$D$54,0))),0)</f>
        <v>2250</v>
      </c>
      <c r="Q142" s="259">
        <f>IF(A142&lt;=B$13,IF(B$17="Yes",'Cost Data'!E$61,IF(B$10&lt;=50,'Cost Data'!D$61,'Cost Data'!C$61)),0)</f>
        <v>750</v>
      </c>
      <c r="R142" s="264">
        <f>IF(A142&lt;=B$13,(IF(B$16="Single project",'Cost Data'!C$55,IF(B$16="Group of projects",'Cost Data'!D$55,0))),0)</f>
        <v>2702</v>
      </c>
      <c r="S142" s="274">
        <f t="shared" si="12"/>
        <v>5802</v>
      </c>
      <c r="T142" s="275">
        <f t="shared" si="13"/>
        <v>56635</v>
      </c>
      <c r="V142" s="257">
        <f t="shared" si="9"/>
        <v>0</v>
      </c>
      <c r="W142" s="185">
        <f>IF(M142&lt;='Data Entry'!$B$13,I142-S142,0)</f>
        <v>-5802</v>
      </c>
      <c r="X142" s="263">
        <f>IF(M142&lt;='Data Entry'!$B$13,J142-T142,0)</f>
        <v>-56635</v>
      </c>
      <c r="Y142" s="199"/>
      <c r="AC142" s="303"/>
    </row>
    <row r="143" spans="1:29" s="6" customFormat="1" ht="15" customHeight="1" x14ac:dyDescent="0.3">
      <c r="A143" s="444"/>
      <c r="B143" s="437"/>
      <c r="C143" s="437"/>
      <c r="D143" s="445"/>
      <c r="E143" s="439"/>
      <c r="F143" s="439"/>
      <c r="H143" s="512"/>
      <c r="I143" s="512"/>
      <c r="J143" s="272"/>
      <c r="K143" s="523"/>
      <c r="M143" s="273">
        <f t="shared" si="8"/>
        <v>0</v>
      </c>
      <c r="N143" s="258"/>
      <c r="O143" s="258">
        <f>IF(A143&lt;=$B$13,IF($B$16="Single project",MAX(100,F143*'Cost Data'!$C$59),MAX(100/7,F143*'Cost Data'!$C$59)),0)</f>
        <v>100</v>
      </c>
      <c r="P143" s="546">
        <f>IF(A143&lt;=$B$13,IF($B$16="Single project",'Cost Data'!$C$54,(IF($B$16="Group of projects",'Cost Data'!$D$54,0))),0)</f>
        <v>2250</v>
      </c>
      <c r="Q143" s="259">
        <f>IF(A143&lt;=B$13,IF(B$17="Yes",'Cost Data'!E$61,IF(B$10&lt;=50,'Cost Data'!D$61,'Cost Data'!C$61)),0)</f>
        <v>750</v>
      </c>
      <c r="R143" s="264">
        <f>IF(A143&lt;=B$13,(IF(B$16="Single project",'Cost Data'!C$55,IF(B$16="Group of projects",'Cost Data'!D$55,0))),0)</f>
        <v>2702</v>
      </c>
      <c r="S143" s="274">
        <f t="shared" si="12"/>
        <v>5802</v>
      </c>
      <c r="T143" s="275">
        <f t="shared" si="13"/>
        <v>62437</v>
      </c>
      <c r="V143" s="257">
        <f t="shared" si="9"/>
        <v>0</v>
      </c>
      <c r="W143" s="185">
        <f>IF(M143&lt;='Data Entry'!$B$13,I143-S143,0)</f>
        <v>-5802</v>
      </c>
      <c r="X143" s="263">
        <f>IF(M143&lt;='Data Entry'!$B$13,J143-T143,0)</f>
        <v>-62437</v>
      </c>
      <c r="Y143" s="199"/>
      <c r="AC143" s="303"/>
    </row>
    <row r="144" spans="1:29" s="6" customFormat="1" ht="15" customHeight="1" thickBot="1" x14ac:dyDescent="0.35">
      <c r="A144" s="446"/>
      <c r="B144" s="441"/>
      <c r="C144" s="441"/>
      <c r="D144" s="443"/>
      <c r="E144" s="447"/>
      <c r="F144" s="447"/>
      <c r="H144" s="512"/>
      <c r="I144" s="512"/>
      <c r="J144" s="272"/>
      <c r="K144" s="525"/>
      <c r="M144" s="273">
        <f t="shared" si="8"/>
        <v>0</v>
      </c>
      <c r="N144" s="258"/>
      <c r="O144" s="258">
        <f>IF(A144&lt;=$B$13,IF($B$16="Single project",MAX(100,F144*'Cost Data'!$C$59),MAX(100/7,F144*'Cost Data'!$C$59)),0)</f>
        <v>100</v>
      </c>
      <c r="P144" s="546">
        <f>IF(A144&lt;=$B$13,IF($B$16="Single project",'Cost Data'!$C$54,(IF($B$16="Group of projects",'Cost Data'!$D$54,0))),0)</f>
        <v>2250</v>
      </c>
      <c r="Q144" s="259">
        <f>IF(A144&lt;=B$13,IF(B$17="Yes",'Cost Data'!E$61,IF(B$10&lt;=50,'Cost Data'!D$61,'Cost Data'!C$61)),0)</f>
        <v>750</v>
      </c>
      <c r="R144" s="264">
        <f>IF(A144&lt;=B$13,(IF(B$16="Single project",'Cost Data'!C$55,IF(B$16="Group of projects",'Cost Data'!D$55,0))),0)</f>
        <v>2702</v>
      </c>
      <c r="S144" s="274">
        <f t="shared" si="12"/>
        <v>5802</v>
      </c>
      <c r="T144" s="275">
        <f t="shared" si="13"/>
        <v>68239</v>
      </c>
      <c r="V144" s="285">
        <f t="shared" si="9"/>
        <v>0</v>
      </c>
      <c r="W144" s="185">
        <f>IF(M144&lt;='Data Entry'!$B$13,I144-S144,0)</f>
        <v>-5802</v>
      </c>
      <c r="X144" s="263">
        <f>IF(M144&lt;='Data Entry'!$B$13,J144-T144,0)</f>
        <v>-68239</v>
      </c>
      <c r="Y144" s="199"/>
      <c r="AC144" s="303"/>
    </row>
    <row r="145" spans="1:29" s="6" customFormat="1" ht="15" customHeight="1" thickBot="1" x14ac:dyDescent="0.35">
      <c r="A145" s="399" t="s">
        <v>14</v>
      </c>
      <c r="B145" s="399"/>
      <c r="C145" s="399"/>
      <c r="D145" s="398"/>
      <c r="E145" s="398"/>
      <c r="F145" s="398"/>
      <c r="H145" s="514"/>
      <c r="I145" s="517"/>
      <c r="J145" s="517"/>
      <c r="K145" s="524"/>
      <c r="M145" s="286" t="str">
        <f t="shared" si="8"/>
        <v>Subtotal - remainder not claimable under WCaG</v>
      </c>
      <c r="N145" s="287">
        <f t="shared" ref="N145:S145" si="14">SUM(N138:N144)</f>
        <v>0</v>
      </c>
      <c r="O145" s="287">
        <f t="shared" si="14"/>
        <v>700</v>
      </c>
      <c r="P145" s="287">
        <f t="shared" ref="P145" si="15">SUM(P138:P144)</f>
        <v>15750</v>
      </c>
      <c r="Q145" s="287">
        <f t="shared" si="14"/>
        <v>5250</v>
      </c>
      <c r="R145" s="288">
        <f t="shared" si="14"/>
        <v>18914</v>
      </c>
      <c r="S145" s="280">
        <f t="shared" si="14"/>
        <v>40614</v>
      </c>
      <c r="T145" s="281">
        <f>T144</f>
        <v>68239</v>
      </c>
      <c r="V145" s="277" t="s">
        <v>13</v>
      </c>
      <c r="W145" s="278">
        <f>SUM(W138:W144)</f>
        <v>-40614</v>
      </c>
      <c r="X145" s="289">
        <f>X144</f>
        <v>-68239</v>
      </c>
      <c r="Y145" s="509"/>
      <c r="AC145" s="303"/>
    </row>
    <row r="146" spans="1:29" s="6" customFormat="1" ht="15" customHeight="1" thickBot="1" x14ac:dyDescent="0.35">
      <c r="A146" s="400" t="s">
        <v>15</v>
      </c>
      <c r="B146" s="401"/>
      <c r="C146" s="402"/>
      <c r="D146" s="412"/>
      <c r="E146" s="412"/>
      <c r="F146" s="412"/>
      <c r="H146" s="514"/>
      <c r="I146" s="517"/>
      <c r="J146" s="517"/>
      <c r="K146" s="521">
        <f>F146*'Income Data'!K4</f>
        <v>0</v>
      </c>
      <c r="M146" s="290" t="s">
        <v>7</v>
      </c>
      <c r="N146" s="291">
        <f t="shared" ref="N146:S146" si="16">N137+N145</f>
        <v>0</v>
      </c>
      <c r="O146" s="291">
        <f t="shared" si="16"/>
        <v>1100</v>
      </c>
      <c r="P146" s="291">
        <f t="shared" si="16"/>
        <v>27050</v>
      </c>
      <c r="Q146" s="291">
        <f t="shared" si="16"/>
        <v>8250</v>
      </c>
      <c r="R146" s="292">
        <f t="shared" si="16"/>
        <v>31839</v>
      </c>
      <c r="S146" s="293">
        <f t="shared" si="16"/>
        <v>68239</v>
      </c>
      <c r="T146" s="294">
        <f>T145</f>
        <v>68239</v>
      </c>
      <c r="V146" s="295" t="s">
        <v>7</v>
      </c>
      <c r="W146" s="296">
        <f>W137+W145</f>
        <v>-68239</v>
      </c>
      <c r="X146" s="297">
        <f>X144</f>
        <v>-68239</v>
      </c>
      <c r="Y146" s="509"/>
      <c r="AC146" s="303"/>
    </row>
    <row r="147" spans="1:29" s="6" customFormat="1" ht="14" thickBot="1" x14ac:dyDescent="0.35">
      <c r="A147" s="276"/>
      <c r="B147" s="590"/>
      <c r="C147" s="593" t="s">
        <v>342</v>
      </c>
      <c r="D147" s="594"/>
      <c r="E147" s="594"/>
      <c r="F147" s="594"/>
      <c r="K147" s="272"/>
      <c r="AC147" s="303"/>
    </row>
    <row r="148" spans="1:29" s="6" customFormat="1" ht="28" thickTop="1" thickBot="1" x14ac:dyDescent="0.35">
      <c r="A148" s="842" t="s">
        <v>373</v>
      </c>
      <c r="B148" s="843"/>
      <c r="C148" s="843"/>
      <c r="D148" s="843"/>
      <c r="E148" s="843"/>
      <c r="F148" s="843"/>
      <c r="M148" s="14" t="s">
        <v>19</v>
      </c>
      <c r="N148" s="15" t="s">
        <v>16</v>
      </c>
      <c r="O148" s="15" t="s">
        <v>17</v>
      </c>
      <c r="P148" s="15" t="s">
        <v>428</v>
      </c>
      <c r="Q148" s="15" t="s">
        <v>9</v>
      </c>
      <c r="R148" s="16" t="s">
        <v>18</v>
      </c>
      <c r="S148" s="17" t="s">
        <v>25</v>
      </c>
      <c r="T148" s="18" t="s">
        <v>26</v>
      </c>
      <c r="V148" s="11" t="s">
        <v>19</v>
      </c>
      <c r="W148" s="12" t="s">
        <v>23</v>
      </c>
      <c r="X148" s="13" t="s">
        <v>24</v>
      </c>
      <c r="Y148" s="380"/>
      <c r="AC148" s="303"/>
    </row>
    <row r="149" spans="1:29" s="6" customFormat="1" ht="54.5" thickBot="1" x14ac:dyDescent="0.35">
      <c r="A149" s="413" t="s">
        <v>10</v>
      </c>
      <c r="B149" s="414" t="s">
        <v>11</v>
      </c>
      <c r="C149" s="414" t="s">
        <v>12</v>
      </c>
      <c r="D149" s="417" t="s">
        <v>31</v>
      </c>
      <c r="E149" s="414" t="s">
        <v>341</v>
      </c>
      <c r="F149" s="414" t="s">
        <v>32</v>
      </c>
      <c r="H149" s="380"/>
      <c r="I149" s="380"/>
      <c r="J149" s="380"/>
      <c r="K149" s="520" t="s">
        <v>262</v>
      </c>
      <c r="M149" s="273">
        <v>0</v>
      </c>
      <c r="N149" s="258">
        <f>F166*('Cost Data'!C57+'Cost Data'!C58)</f>
        <v>0</v>
      </c>
      <c r="O149" s="258"/>
      <c r="P149" s="546">
        <f>IF(B$16="Single project",SUM('Cost Data'!C$49:C$50),(IF(B$16="Group of projects",SUM('Cost Data'!D$49:D$50),0)))</f>
        <v>2300</v>
      </c>
      <c r="Q149" s="259">
        <v>0</v>
      </c>
      <c r="R149" s="260">
        <f>IF(B$16="Single project",'Cost Data'!C$51,IF(B$16="Group of projects",'Cost Data'!D$51,0))</f>
        <v>2117</v>
      </c>
      <c r="S149" s="274">
        <f t="shared" ref="S149:S156" si="17">SUM(N149:R149)</f>
        <v>4417</v>
      </c>
      <c r="T149" s="275">
        <f>S149</f>
        <v>4417</v>
      </c>
      <c r="V149" s="257">
        <f t="shared" ref="V149:V164" si="18">M149</f>
        <v>0</v>
      </c>
      <c r="W149" s="185">
        <f>-S149</f>
        <v>-4417</v>
      </c>
      <c r="X149" s="263">
        <f>-S149</f>
        <v>-4417</v>
      </c>
      <c r="Y149" s="199"/>
      <c r="AC149" s="303"/>
    </row>
    <row r="150" spans="1:29" s="6" customFormat="1" ht="15" customHeight="1" x14ac:dyDescent="0.3">
      <c r="A150" s="432"/>
      <c r="B150" s="433"/>
      <c r="C150" s="433"/>
      <c r="D150" s="448"/>
      <c r="E150" s="435"/>
      <c r="F150" s="435"/>
      <c r="H150" s="512"/>
      <c r="I150" s="272"/>
      <c r="J150" s="272"/>
      <c r="K150" s="522"/>
      <c r="M150" s="273">
        <f t="shared" ref="M150:M165" si="19">A150</f>
        <v>0</v>
      </c>
      <c r="N150" s="258"/>
      <c r="O150" s="258">
        <f>IF($B$16="Single project",MAX(100,F150*'Cost Data'!$C$59),MAX(100/7,F150*'Cost Data'!$C$59))</f>
        <v>100</v>
      </c>
      <c r="P150" s="546">
        <f>IF(B$16="Single project",'Cost Data'!C$52,(IF(B$16="Group of projects",'Cost Data'!D$52,0)))</f>
        <v>2250</v>
      </c>
      <c r="Q150" s="259">
        <f>IF(B$17="Yes",'Cost Data'!E$61,IF(B$10&lt;=50,'Cost Data'!D$61,'Cost Data'!C$61))</f>
        <v>750</v>
      </c>
      <c r="R150" s="264">
        <f>IF(B$16="Single project",'Cost Data'!C$53,IF(B$16="Group of projects",'Cost Data'!D$53,0))</f>
        <v>2702</v>
      </c>
      <c r="S150" s="274">
        <f t="shared" si="17"/>
        <v>5802</v>
      </c>
      <c r="T150" s="275">
        <f t="shared" ref="T150:T156" si="20">T149+S150</f>
        <v>10219</v>
      </c>
      <c r="V150" s="257">
        <f t="shared" si="18"/>
        <v>0</v>
      </c>
      <c r="W150" s="185">
        <f t="shared" ref="W150:X156" si="21">I150-S150</f>
        <v>-5802</v>
      </c>
      <c r="X150" s="263">
        <f t="shared" si="21"/>
        <v>-10219</v>
      </c>
      <c r="Y150" s="199"/>
      <c r="AC150" s="303"/>
    </row>
    <row r="151" spans="1:29" s="6" customFormat="1" ht="15" customHeight="1" x14ac:dyDescent="0.3">
      <c r="A151" s="436"/>
      <c r="B151" s="437"/>
      <c r="C151" s="437"/>
      <c r="D151" s="449"/>
      <c r="E151" s="439"/>
      <c r="F151" s="439"/>
      <c r="H151" s="512"/>
      <c r="I151" s="272"/>
      <c r="J151" s="272"/>
      <c r="K151" s="523"/>
      <c r="M151" s="273">
        <f t="shared" si="19"/>
        <v>0</v>
      </c>
      <c r="N151" s="258"/>
      <c r="O151" s="258">
        <f>IF(A151&lt;=$B$13,IF($B$16="Single project",MAX(100,F151*'Cost Data'!$C$59),MAX(100/7,F151*'Cost Data'!$C$59)),0)</f>
        <v>100</v>
      </c>
      <c r="P151" s="546">
        <f>IF(A151&lt;=$B$13,IF($B$16="Single project",'Cost Data'!$C$54,(IF($B$16="Group of projects",'Cost Data'!$D$54,0))),0)</f>
        <v>2250</v>
      </c>
      <c r="Q151" s="259">
        <f>IF(A151&lt;=B$13,IF(B$17="Yes",'Cost Data'!E$61,IF(B$10&lt;=50,'Cost Data'!D$61,'Cost Data'!C$61)),0)</f>
        <v>750</v>
      </c>
      <c r="R151" s="264">
        <f>IF(A151&lt;=B$13,(IF(B$16="Single project",'Cost Data'!C$55,IF(B$16="Group of projects",'Cost Data'!D$55,0))),0)</f>
        <v>2702</v>
      </c>
      <c r="S151" s="274">
        <f t="shared" si="17"/>
        <v>5802</v>
      </c>
      <c r="T151" s="275">
        <f t="shared" si="20"/>
        <v>16021</v>
      </c>
      <c r="V151" s="257">
        <f t="shared" si="18"/>
        <v>0</v>
      </c>
      <c r="W151" s="185">
        <f t="shared" si="21"/>
        <v>-5802</v>
      </c>
      <c r="X151" s="263">
        <f t="shared" si="21"/>
        <v>-16021</v>
      </c>
      <c r="Y151" s="199"/>
      <c r="AC151" s="303"/>
    </row>
    <row r="152" spans="1:29" s="6" customFormat="1" ht="15" customHeight="1" x14ac:dyDescent="0.3">
      <c r="A152" s="436"/>
      <c r="B152" s="437"/>
      <c r="C152" s="437"/>
      <c r="D152" s="449"/>
      <c r="E152" s="439"/>
      <c r="F152" s="439"/>
      <c r="H152" s="512"/>
      <c r="I152" s="272"/>
      <c r="J152" s="272"/>
      <c r="K152" s="523"/>
      <c r="M152" s="273">
        <f t="shared" si="19"/>
        <v>0</v>
      </c>
      <c r="N152" s="258"/>
      <c r="O152" s="258">
        <f>IF(A152&lt;=$B$13,IF($B$16="Single project",MAX(100,F152*'Cost Data'!$C$59),MAX(100/7,F152*'Cost Data'!$C$59)),0)</f>
        <v>100</v>
      </c>
      <c r="P152" s="546">
        <f>IF(A152&lt;=$B$13,IF($B$16="Single project",'Cost Data'!$C$54,(IF($B$16="Group of projects",'Cost Data'!$D$54,0))),0)</f>
        <v>2250</v>
      </c>
      <c r="Q152" s="259">
        <f>IF(A152&lt;=B$13,IF(B$17="Yes",'Cost Data'!E$61,IF(B$10&lt;=50,'Cost Data'!D$61,'Cost Data'!C$61)),0)</f>
        <v>750</v>
      </c>
      <c r="R152" s="264">
        <f>IF(A152&lt;=B$13,(IF(B$16="Single project",'Cost Data'!C$55,IF(B$16="Group of projects",'Cost Data'!D$55,0))),0)</f>
        <v>2702</v>
      </c>
      <c r="S152" s="274">
        <f t="shared" si="17"/>
        <v>5802</v>
      </c>
      <c r="T152" s="275">
        <f t="shared" si="20"/>
        <v>21823</v>
      </c>
      <c r="V152" s="257">
        <f t="shared" si="18"/>
        <v>0</v>
      </c>
      <c r="W152" s="185">
        <f t="shared" si="21"/>
        <v>-5802</v>
      </c>
      <c r="X152" s="263">
        <f t="shared" si="21"/>
        <v>-21823</v>
      </c>
      <c r="Y152" s="199"/>
      <c r="AC152" s="303"/>
    </row>
    <row r="153" spans="1:29" s="6" customFormat="1" ht="15" customHeight="1" x14ac:dyDescent="0.3">
      <c r="A153" s="436"/>
      <c r="B153" s="437"/>
      <c r="C153" s="437"/>
      <c r="D153" s="449"/>
      <c r="E153" s="439"/>
      <c r="F153" s="439"/>
      <c r="H153" s="512"/>
      <c r="I153" s="272"/>
      <c r="J153" s="272"/>
      <c r="K153" s="523"/>
      <c r="M153" s="273">
        <f t="shared" si="19"/>
        <v>0</v>
      </c>
      <c r="N153" s="258"/>
      <c r="O153" s="258">
        <f>IF(A153&lt;=$B$13,IF($B$16="Single project",MAX(100,F153*'Cost Data'!$C$59),MAX(100/7,F153*'Cost Data'!$C$59)),0)</f>
        <v>100</v>
      </c>
      <c r="P153" s="546">
        <f>IF(A153&lt;=$B$13,IF($B$16="Single project",'Cost Data'!$C$54,(IF($B$16="Group of projects",'Cost Data'!$D$54,0))),0)</f>
        <v>2250</v>
      </c>
      <c r="Q153" s="259">
        <f>IF(A153&lt;=B$13,IF(B$17="Yes",'Cost Data'!E$61,IF(B$10&lt;=50,'Cost Data'!D$61,'Cost Data'!C$61)),0)</f>
        <v>750</v>
      </c>
      <c r="R153" s="264">
        <f>IF(A153&lt;=B$13,(IF(B$16="Single project",'Cost Data'!C$55,IF(B$16="Group of projects",'Cost Data'!D$55,0))),0)</f>
        <v>2702</v>
      </c>
      <c r="S153" s="274">
        <f t="shared" si="17"/>
        <v>5802</v>
      </c>
      <c r="T153" s="275">
        <f t="shared" si="20"/>
        <v>27625</v>
      </c>
      <c r="V153" s="257">
        <f t="shared" si="18"/>
        <v>0</v>
      </c>
      <c r="W153" s="185">
        <f t="shared" si="21"/>
        <v>-5802</v>
      </c>
      <c r="X153" s="263">
        <f t="shared" si="21"/>
        <v>-27625</v>
      </c>
      <c r="Y153" s="199"/>
      <c r="AC153" s="303"/>
    </row>
    <row r="154" spans="1:29" s="6" customFormat="1" ht="15" customHeight="1" x14ac:dyDescent="0.3">
      <c r="A154" s="436"/>
      <c r="B154" s="437"/>
      <c r="C154" s="437"/>
      <c r="D154" s="449"/>
      <c r="E154" s="439"/>
      <c r="F154" s="439"/>
      <c r="H154" s="512"/>
      <c r="I154" s="272"/>
      <c r="J154" s="272"/>
      <c r="K154" s="523"/>
      <c r="M154" s="273">
        <f t="shared" si="19"/>
        <v>0</v>
      </c>
      <c r="N154" s="258"/>
      <c r="O154" s="258">
        <f>IF(A154&lt;=$B$13,IF($B$16="Single project",MAX(100,F154*'Cost Data'!$C$59),MAX(100/7,F154*'Cost Data'!$C$59)),0)</f>
        <v>100</v>
      </c>
      <c r="P154" s="546">
        <f>IF(A154&lt;=$B$13,IF($B$16="Single project",'Cost Data'!$C$54,(IF($B$16="Group of projects",'Cost Data'!$D$54,0))),0)</f>
        <v>2250</v>
      </c>
      <c r="Q154" s="259">
        <f>IF(A154&lt;=B$13,IF(B$17="Yes",'Cost Data'!E$61,IF(B$10&lt;=50,'Cost Data'!D$61,'Cost Data'!C$61)),0)</f>
        <v>750</v>
      </c>
      <c r="R154" s="264">
        <f>IF(A154&lt;=B$13,(IF(B$16="Single project",'Cost Data'!C$55,IF(B$16="Group of projects",'Cost Data'!D$55,0))),0)</f>
        <v>2702</v>
      </c>
      <c r="S154" s="274">
        <f t="shared" si="17"/>
        <v>5802</v>
      </c>
      <c r="T154" s="275">
        <f t="shared" si="20"/>
        <v>33427</v>
      </c>
      <c r="V154" s="257">
        <f t="shared" si="18"/>
        <v>0</v>
      </c>
      <c r="W154" s="185">
        <f t="shared" si="21"/>
        <v>-5802</v>
      </c>
      <c r="X154" s="263">
        <f t="shared" si="21"/>
        <v>-33427</v>
      </c>
      <c r="Y154" s="199"/>
      <c r="AC154" s="303"/>
    </row>
    <row r="155" spans="1:29" s="6" customFormat="1" ht="15" customHeight="1" x14ac:dyDescent="0.3">
      <c r="A155" s="436"/>
      <c r="B155" s="437"/>
      <c r="C155" s="437"/>
      <c r="D155" s="449"/>
      <c r="E155" s="439"/>
      <c r="F155" s="439"/>
      <c r="H155" s="512"/>
      <c r="I155" s="272"/>
      <c r="J155" s="272"/>
      <c r="K155" s="523"/>
      <c r="M155" s="273">
        <f t="shared" si="19"/>
        <v>0</v>
      </c>
      <c r="N155" s="258"/>
      <c r="O155" s="258">
        <f>IF(A155&lt;=$B$13,IF($B$16="Single project",MAX(100,F155*'Cost Data'!$C$59),MAX(100/7,F155*'Cost Data'!$C$59)),0)</f>
        <v>100</v>
      </c>
      <c r="P155" s="546">
        <f>IF(A155&lt;=$B$13,IF($B$16="Single project",'Cost Data'!$C$54,(IF($B$16="Group of projects",'Cost Data'!$D$54,0))),0)</f>
        <v>2250</v>
      </c>
      <c r="Q155" s="259">
        <f>IF(A155&lt;=B$13,IF(B$17="Yes",'Cost Data'!E$61,IF(B$10&lt;=50,'Cost Data'!D$61,'Cost Data'!C$61)),0)</f>
        <v>750</v>
      </c>
      <c r="R155" s="264">
        <f>IF(A155&lt;=B$13,(IF(B$16="Single project",'Cost Data'!C$55,IF(B$16="Group of projects",'Cost Data'!D$55,0))),0)</f>
        <v>2702</v>
      </c>
      <c r="S155" s="274">
        <f t="shared" si="17"/>
        <v>5802</v>
      </c>
      <c r="T155" s="275">
        <f t="shared" si="20"/>
        <v>39229</v>
      </c>
      <c r="V155" s="257">
        <f t="shared" si="18"/>
        <v>0</v>
      </c>
      <c r="W155" s="185">
        <f t="shared" si="21"/>
        <v>-5802</v>
      </c>
      <c r="X155" s="263">
        <f t="shared" si="21"/>
        <v>-39229</v>
      </c>
      <c r="Y155" s="199"/>
      <c r="AC155" s="303"/>
    </row>
    <row r="156" spans="1:29" s="6" customFormat="1" ht="15" customHeight="1" thickBot="1" x14ac:dyDescent="0.35">
      <c r="A156" s="440"/>
      <c r="B156" s="441"/>
      <c r="C156" s="442"/>
      <c r="D156" s="450"/>
      <c r="E156" s="447"/>
      <c r="F156" s="447"/>
      <c r="H156" s="512"/>
      <c r="I156" s="272"/>
      <c r="J156" s="272"/>
      <c r="K156" s="525"/>
      <c r="M156" s="273">
        <f t="shared" si="19"/>
        <v>0</v>
      </c>
      <c r="N156" s="258"/>
      <c r="O156" s="258">
        <f>IF(A156&lt;=$B$13,IF($B$16="Single project",MAX(100,F156*'Cost Data'!$C$59),MAX(100/7,F156*'Cost Data'!$C$59)),0)</f>
        <v>100</v>
      </c>
      <c r="P156" s="546">
        <f>IF(A156&lt;=$B$13,IF($B$16="Single project",'Cost Data'!$C$54,(IF($B$16="Group of projects",'Cost Data'!$D$54,0))),0)</f>
        <v>2250</v>
      </c>
      <c r="Q156" s="259">
        <f>IF(A156&lt;=B$13,IF(B$17="Yes",'Cost Data'!E$61,IF(B$10&lt;=50,'Cost Data'!D$61,'Cost Data'!C$61)),0)</f>
        <v>750</v>
      </c>
      <c r="R156" s="264">
        <f>IF(A156&lt;=B$13,(IF(B$16="Single project",'Cost Data'!C$55,IF(B$16="Group of projects",'Cost Data'!D$55,0))),0)</f>
        <v>2702</v>
      </c>
      <c r="S156" s="274">
        <f t="shared" si="17"/>
        <v>5802</v>
      </c>
      <c r="T156" s="275">
        <f t="shared" si="20"/>
        <v>45031</v>
      </c>
      <c r="V156" s="257">
        <f t="shared" si="18"/>
        <v>0</v>
      </c>
      <c r="W156" s="185">
        <f t="shared" si="21"/>
        <v>-5802</v>
      </c>
      <c r="X156" s="263">
        <f t="shared" si="21"/>
        <v>-45031</v>
      </c>
      <c r="Y156" s="199"/>
      <c r="AC156" s="303"/>
    </row>
    <row r="157" spans="1:29" s="6" customFormat="1" ht="15" customHeight="1" thickBot="1" x14ac:dyDescent="0.35">
      <c r="A157" s="395" t="s">
        <v>13</v>
      </c>
      <c r="B157" s="403"/>
      <c r="C157" s="403"/>
      <c r="D157" s="404"/>
      <c r="E157" s="398"/>
      <c r="F157" s="398"/>
      <c r="H157" s="515"/>
      <c r="I157" s="517"/>
      <c r="J157" s="517"/>
      <c r="K157" s="524"/>
      <c r="M157" s="277" t="str">
        <f t="shared" si="19"/>
        <v>Subtotal - claimable under WCaG to f/y 2055/56</v>
      </c>
      <c r="N157" s="278">
        <f t="shared" ref="N157:S157" si="22">SUM(N149:N156)</f>
        <v>0</v>
      </c>
      <c r="O157" s="278">
        <f t="shared" si="22"/>
        <v>700</v>
      </c>
      <c r="P157" s="278">
        <f t="shared" ref="P157" si="23">SUM(P149:P156)</f>
        <v>18050</v>
      </c>
      <c r="Q157" s="278">
        <f t="shared" si="22"/>
        <v>5250</v>
      </c>
      <c r="R157" s="279">
        <f t="shared" si="22"/>
        <v>21031</v>
      </c>
      <c r="S157" s="279">
        <f t="shared" si="22"/>
        <v>45031</v>
      </c>
      <c r="T157" s="281">
        <f>T156</f>
        <v>45031</v>
      </c>
      <c r="V157" s="282" t="str">
        <f t="shared" si="18"/>
        <v>Subtotal - claimable under WCaG to f/y 2055/56</v>
      </c>
      <c r="W157" s="283">
        <f>SUM(W149:W156)</f>
        <v>-45031</v>
      </c>
      <c r="X157" s="284">
        <f>X156</f>
        <v>-45031</v>
      </c>
      <c r="Y157" s="509"/>
      <c r="AC157" s="303"/>
    </row>
    <row r="158" spans="1:29" s="6" customFormat="1" ht="15" customHeight="1" x14ac:dyDescent="0.3">
      <c r="A158" s="451"/>
      <c r="B158" s="452"/>
      <c r="C158" s="452"/>
      <c r="D158" s="453"/>
      <c r="E158" s="439"/>
      <c r="F158" s="439"/>
      <c r="H158" s="512"/>
      <c r="I158" s="512"/>
      <c r="J158" s="272"/>
      <c r="K158" s="522"/>
      <c r="M158" s="273">
        <f t="shared" si="19"/>
        <v>0</v>
      </c>
      <c r="N158" s="258"/>
      <c r="O158" s="258">
        <f>IF(A158&lt;=$B$13,IF($B$16="Single project",MAX(100,F158*'Cost Data'!$C$59),MAX(100/7,F158*'Cost Data'!$C$59)),0)</f>
        <v>100</v>
      </c>
      <c r="P158" s="546">
        <f>IF(A158&lt;=$B$13,IF($B$16="Single project",'Cost Data'!$C$54,(IF($B$16="Group of projects",'Cost Data'!$D$54,0))),0)</f>
        <v>2250</v>
      </c>
      <c r="Q158" s="259">
        <f>IF(A158&lt;=B$13,IF(B$17="Yes",'Cost Data'!E$61,IF(B$10&lt;=50,'Cost Data'!D$61,'Cost Data'!C$61)),0)</f>
        <v>750</v>
      </c>
      <c r="R158" s="264">
        <f>IF(A158&lt;=B$13,(IF(B$16="Single project",'Cost Data'!C$55,IF(B$16="Group of projects",'Cost Data'!D$55,0))),0)</f>
        <v>2702</v>
      </c>
      <c r="S158" s="274">
        <f t="shared" ref="S158:S164" si="24">SUM(N158:R158)</f>
        <v>5802</v>
      </c>
      <c r="T158" s="275">
        <f>T156+S158</f>
        <v>50833</v>
      </c>
      <c r="V158" s="257">
        <f t="shared" si="18"/>
        <v>0</v>
      </c>
      <c r="W158" s="185">
        <f>IF(M158&lt;='Data Entry'!$B$13,I158-S158,0)</f>
        <v>-5802</v>
      </c>
      <c r="X158" s="263">
        <f>IF(M158&lt;='Data Entry'!$B$13,J158-T158,0)</f>
        <v>-50833</v>
      </c>
      <c r="Y158" s="199"/>
      <c r="AC158" s="303"/>
    </row>
    <row r="159" spans="1:29" s="6" customFormat="1" ht="15" customHeight="1" x14ac:dyDescent="0.3">
      <c r="A159" s="451"/>
      <c r="B159" s="452"/>
      <c r="C159" s="452"/>
      <c r="D159" s="453"/>
      <c r="E159" s="439"/>
      <c r="F159" s="439"/>
      <c r="H159" s="512"/>
      <c r="I159" s="512"/>
      <c r="J159" s="272"/>
      <c r="K159" s="523"/>
      <c r="M159" s="273">
        <f t="shared" si="19"/>
        <v>0</v>
      </c>
      <c r="N159" s="258"/>
      <c r="O159" s="258">
        <f>IF(A159&lt;=$B$13,IF($B$16="Single project",MAX(100,F159*'Cost Data'!$C$59),MAX(100/7,F159*'Cost Data'!$C$59)),0)</f>
        <v>100</v>
      </c>
      <c r="P159" s="546">
        <f>IF(A159&lt;=$B$13,IF($B$16="Single project",'Cost Data'!$C$54,(IF($B$16="Group of projects",'Cost Data'!$D$54,0))),0)</f>
        <v>2250</v>
      </c>
      <c r="Q159" s="259">
        <f>IF(A159&lt;=B$13,IF(B$17="Yes",'Cost Data'!E$61,IF(B$10&lt;=50,'Cost Data'!D$61,'Cost Data'!C$61)),0)</f>
        <v>750</v>
      </c>
      <c r="R159" s="264">
        <f>IF(A159&lt;=B$13,(IF(B$16="Single project",'Cost Data'!C$55,IF(B$16="Group of projects",'Cost Data'!D$55,0))),0)</f>
        <v>2702</v>
      </c>
      <c r="S159" s="274">
        <f t="shared" si="24"/>
        <v>5802</v>
      </c>
      <c r="T159" s="275">
        <f t="shared" ref="T159:T164" si="25">T158+S159</f>
        <v>56635</v>
      </c>
      <c r="V159" s="257">
        <f t="shared" si="18"/>
        <v>0</v>
      </c>
      <c r="W159" s="185">
        <f>IF(M159&lt;='Data Entry'!$B$13,I159-S159,0)</f>
        <v>-5802</v>
      </c>
      <c r="X159" s="263">
        <f>IF(M159&lt;='Data Entry'!$B$13,J159-T159,0)</f>
        <v>-56635</v>
      </c>
      <c r="Y159" s="199"/>
      <c r="AC159" s="303"/>
    </row>
    <row r="160" spans="1:29" s="6" customFormat="1" ht="15" customHeight="1" x14ac:dyDescent="0.3">
      <c r="A160" s="451"/>
      <c r="B160" s="452"/>
      <c r="C160" s="452"/>
      <c r="D160" s="453"/>
      <c r="E160" s="439"/>
      <c r="F160" s="439"/>
      <c r="H160" s="512"/>
      <c r="I160" s="512"/>
      <c r="J160" s="272"/>
      <c r="K160" s="523"/>
      <c r="M160" s="273">
        <f t="shared" si="19"/>
        <v>0</v>
      </c>
      <c r="N160" s="258"/>
      <c r="O160" s="258">
        <f>IF(A160&lt;=$B$13,IF($B$16="Single project",MAX(100,F160*'Cost Data'!$C$59),MAX(100/7,F160*'Cost Data'!$C$59)),0)</f>
        <v>100</v>
      </c>
      <c r="P160" s="546">
        <f>IF(A160&lt;=$B$13,IF($B$16="Single project",'Cost Data'!$C$54,(IF($B$16="Group of projects",'Cost Data'!$D$54,0))),0)</f>
        <v>2250</v>
      </c>
      <c r="Q160" s="259">
        <f>IF(A160&lt;=B$13,IF(B$17="Yes",'Cost Data'!E$61,IF(B$10&lt;=50,'Cost Data'!D$61,'Cost Data'!C$61)),0)</f>
        <v>750</v>
      </c>
      <c r="R160" s="264">
        <f>IF(A160&lt;=B$13,(IF(B$16="Single project",'Cost Data'!C$55,IF(B$16="Group of projects",'Cost Data'!D$55,0))),0)</f>
        <v>2702</v>
      </c>
      <c r="S160" s="274">
        <f t="shared" si="24"/>
        <v>5802</v>
      </c>
      <c r="T160" s="275">
        <f t="shared" si="25"/>
        <v>62437</v>
      </c>
      <c r="V160" s="257">
        <f t="shared" si="18"/>
        <v>0</v>
      </c>
      <c r="W160" s="185">
        <f>IF(M160&lt;='Data Entry'!$B$13,I160-S160,0)</f>
        <v>-5802</v>
      </c>
      <c r="X160" s="263">
        <f>IF(M160&lt;='Data Entry'!$B$13,J160-T160,0)</f>
        <v>-62437</v>
      </c>
      <c r="Y160" s="199"/>
      <c r="AC160" s="303"/>
    </row>
    <row r="161" spans="1:29" s="6" customFormat="1" ht="15" customHeight="1" x14ac:dyDescent="0.3">
      <c r="A161" s="451"/>
      <c r="B161" s="452"/>
      <c r="C161" s="452"/>
      <c r="D161" s="453"/>
      <c r="E161" s="439"/>
      <c r="F161" s="439"/>
      <c r="H161" s="512"/>
      <c r="I161" s="512"/>
      <c r="J161" s="272"/>
      <c r="K161" s="523"/>
      <c r="M161" s="273">
        <f t="shared" si="19"/>
        <v>0</v>
      </c>
      <c r="N161" s="258"/>
      <c r="O161" s="258">
        <f>IF(A161&lt;=$B$13,IF($B$16="Single project",MAX(100,F161*'Cost Data'!$C$59),MAX(100/7,F161*'Cost Data'!$C$59)),0)</f>
        <v>100</v>
      </c>
      <c r="P161" s="546">
        <f>IF(A161&lt;=$B$13,IF($B$16="Single project",'Cost Data'!$C$54,(IF($B$16="Group of projects",'Cost Data'!$D$54,0))),0)</f>
        <v>2250</v>
      </c>
      <c r="Q161" s="259">
        <f>IF(A161&lt;=B$13,IF(B$17="Yes",'Cost Data'!E$61,IF(B$10&lt;=50,'Cost Data'!D$61,'Cost Data'!C$61)),0)</f>
        <v>750</v>
      </c>
      <c r="R161" s="264">
        <f>IF(A161&lt;=B$13,(IF(B$16="Single project",'Cost Data'!C$55,IF(B$16="Group of projects",'Cost Data'!D$55,0))),0)</f>
        <v>2702</v>
      </c>
      <c r="S161" s="274">
        <f t="shared" si="24"/>
        <v>5802</v>
      </c>
      <c r="T161" s="275">
        <f t="shared" si="25"/>
        <v>68239</v>
      </c>
      <c r="V161" s="257">
        <f t="shared" si="18"/>
        <v>0</v>
      </c>
      <c r="W161" s="185">
        <f>IF(M161&lt;='Data Entry'!$B$13,I161-S161,0)</f>
        <v>-5802</v>
      </c>
      <c r="X161" s="263">
        <f>IF(M161&lt;='Data Entry'!$B$13,J161-T161,0)</f>
        <v>-68239</v>
      </c>
      <c r="Y161" s="199"/>
      <c r="AC161" s="303"/>
    </row>
    <row r="162" spans="1:29" s="6" customFormat="1" ht="15" customHeight="1" x14ac:dyDescent="0.3">
      <c r="A162" s="451"/>
      <c r="B162" s="452"/>
      <c r="C162" s="452"/>
      <c r="D162" s="453"/>
      <c r="E162" s="439"/>
      <c r="F162" s="439"/>
      <c r="H162" s="512"/>
      <c r="I162" s="512"/>
      <c r="J162" s="272"/>
      <c r="K162" s="523"/>
      <c r="M162" s="273">
        <f t="shared" si="19"/>
        <v>0</v>
      </c>
      <c r="N162" s="258"/>
      <c r="O162" s="258">
        <f>IF(A162&lt;=$B$13,IF($B$16="Single project",MAX(100,F162*'Cost Data'!$C$59),MAX(100/7,F162*'Cost Data'!$C$59)),0)</f>
        <v>100</v>
      </c>
      <c r="P162" s="546">
        <f>IF(A162&lt;=$B$13,IF($B$16="Single project",'Cost Data'!$C$54,(IF($B$16="Group of projects",'Cost Data'!$D$54,0))),0)</f>
        <v>2250</v>
      </c>
      <c r="Q162" s="259">
        <f>IF(A162&lt;=B$13,IF(B$17="Yes",'Cost Data'!E$61,IF(B$10&lt;=50,'Cost Data'!D$61,'Cost Data'!C$61)),0)</f>
        <v>750</v>
      </c>
      <c r="R162" s="264">
        <f>IF(A162&lt;=B$13,(IF(B$16="Single project",'Cost Data'!C$55,IF(B$16="Group of projects",'Cost Data'!D$55,0))),0)</f>
        <v>2702</v>
      </c>
      <c r="S162" s="274">
        <f t="shared" si="24"/>
        <v>5802</v>
      </c>
      <c r="T162" s="275">
        <f t="shared" si="25"/>
        <v>74041</v>
      </c>
      <c r="V162" s="257">
        <f t="shared" si="18"/>
        <v>0</v>
      </c>
      <c r="W162" s="185">
        <f>IF(M162&lt;='Data Entry'!$B$13,I162-S162,0)</f>
        <v>-5802</v>
      </c>
      <c r="X162" s="263">
        <f>IF(M162&lt;='Data Entry'!$B$13,J162-T162,0)</f>
        <v>-74041</v>
      </c>
      <c r="Y162" s="199"/>
      <c r="AC162" s="303"/>
    </row>
    <row r="163" spans="1:29" s="6" customFormat="1" ht="15" customHeight="1" x14ac:dyDescent="0.3">
      <c r="A163" s="454"/>
      <c r="B163" s="452"/>
      <c r="C163" s="452"/>
      <c r="D163" s="455"/>
      <c r="E163" s="439"/>
      <c r="F163" s="439"/>
      <c r="H163" s="512"/>
      <c r="I163" s="512"/>
      <c r="J163" s="272"/>
      <c r="K163" s="523"/>
      <c r="M163" s="273">
        <f t="shared" si="19"/>
        <v>0</v>
      </c>
      <c r="N163" s="258"/>
      <c r="O163" s="258">
        <f>IF(A163&lt;=$B$13,IF($B$16="Single project",MAX(100,F163*'Cost Data'!$C$59),MAX(100/7,F163*'Cost Data'!$C$59)),0)</f>
        <v>100</v>
      </c>
      <c r="P163" s="546">
        <f>IF(A163&lt;=$B$13,IF($B$16="Single project",'Cost Data'!$C$54,(IF($B$16="Group of projects",'Cost Data'!$D$54,0))),0)</f>
        <v>2250</v>
      </c>
      <c r="Q163" s="259">
        <f>IF(A163&lt;=B$13,IF(B$17="Yes",'Cost Data'!E$61,IF(B$10&lt;=50,'Cost Data'!D$61,'Cost Data'!C$61)),0)</f>
        <v>750</v>
      </c>
      <c r="R163" s="264">
        <f>IF(A163&lt;=B$13,(IF(B$16="Single project",'Cost Data'!C$55,IF(B$16="Group of projects",'Cost Data'!D$55,0))),0)</f>
        <v>2702</v>
      </c>
      <c r="S163" s="274">
        <f t="shared" si="24"/>
        <v>5802</v>
      </c>
      <c r="T163" s="275">
        <f t="shared" si="25"/>
        <v>79843</v>
      </c>
      <c r="V163" s="257">
        <f t="shared" si="18"/>
        <v>0</v>
      </c>
      <c r="W163" s="185">
        <f>IF(M163&lt;='Data Entry'!$B$13,I163-S163,0)</f>
        <v>-5802</v>
      </c>
      <c r="X163" s="263">
        <f>IF(M163&lt;='Data Entry'!$B$13,J163-T163,0)</f>
        <v>-79843</v>
      </c>
      <c r="Y163" s="199"/>
      <c r="AC163" s="303"/>
    </row>
    <row r="164" spans="1:29" s="6" customFormat="1" ht="15" customHeight="1" thickBot="1" x14ac:dyDescent="0.35">
      <c r="A164" s="456"/>
      <c r="B164" s="457"/>
      <c r="C164" s="457"/>
      <c r="D164" s="458"/>
      <c r="E164" s="447"/>
      <c r="F164" s="447"/>
      <c r="H164" s="512"/>
      <c r="I164" s="512"/>
      <c r="J164" s="272"/>
      <c r="K164" s="525"/>
      <c r="M164" s="273">
        <f t="shared" si="19"/>
        <v>0</v>
      </c>
      <c r="N164" s="258"/>
      <c r="O164" s="258">
        <f>IF(A164&lt;=$B$13,IF($B$16="Single project",MAX(100,F164*'Cost Data'!$C$59),MAX(100/7,F164*'Cost Data'!$C$59)),0)</f>
        <v>100</v>
      </c>
      <c r="P164" s="546">
        <f>IF(A164&lt;=$B$13,IF($B$16="Single project",'Cost Data'!$C$54,(IF($B$16="Group of projects",'Cost Data'!$D$54,0))),0)</f>
        <v>2250</v>
      </c>
      <c r="Q164" s="259">
        <f>IF(A164&lt;=B$13,IF(B$17="Yes",'Cost Data'!E$61,IF(B$10&lt;=50,'Cost Data'!D$61,'Cost Data'!C$61)),0)</f>
        <v>750</v>
      </c>
      <c r="R164" s="264">
        <f>IF(A164&lt;=B$13,(IF(B$16="Single project",'Cost Data'!C$55,IF(B$16="Group of projects",'Cost Data'!D$55,0))),0)</f>
        <v>2702</v>
      </c>
      <c r="S164" s="274">
        <f t="shared" si="24"/>
        <v>5802</v>
      </c>
      <c r="T164" s="275">
        <f t="shared" si="25"/>
        <v>85645</v>
      </c>
      <c r="V164" s="298">
        <f t="shared" si="18"/>
        <v>0</v>
      </c>
      <c r="W164" s="185">
        <f>IF(M164&lt;='Data Entry'!$B$13,I164-S164,0)</f>
        <v>-5802</v>
      </c>
      <c r="X164" s="263">
        <f>IF(M164&lt;='Data Entry'!$B$13,J164-T164,0)</f>
        <v>-85645</v>
      </c>
      <c r="Y164" s="199"/>
      <c r="AC164" s="303"/>
    </row>
    <row r="165" spans="1:29" s="6" customFormat="1" ht="15" customHeight="1" thickBot="1" x14ac:dyDescent="0.35">
      <c r="A165" s="399" t="s">
        <v>14</v>
      </c>
      <c r="B165" s="399"/>
      <c r="C165" s="395"/>
      <c r="D165" s="405"/>
      <c r="E165" s="406"/>
      <c r="F165" s="406"/>
      <c r="H165" s="515"/>
      <c r="I165" s="517"/>
      <c r="J165" s="517"/>
      <c r="K165" s="524"/>
      <c r="M165" s="286" t="str">
        <f t="shared" si="19"/>
        <v>Subtotal - remainder not claimable under WCaG</v>
      </c>
      <c r="N165" s="287">
        <f t="shared" ref="N165:S165" si="26">SUM(N158:N164)</f>
        <v>0</v>
      </c>
      <c r="O165" s="287">
        <f t="shared" si="26"/>
        <v>700</v>
      </c>
      <c r="P165" s="287">
        <f t="shared" ref="P165" si="27">SUM(P158:P164)</f>
        <v>15750</v>
      </c>
      <c r="Q165" s="287">
        <f t="shared" si="26"/>
        <v>5250</v>
      </c>
      <c r="R165" s="288">
        <f t="shared" si="26"/>
        <v>18914</v>
      </c>
      <c r="S165" s="288">
        <f t="shared" si="26"/>
        <v>40614</v>
      </c>
      <c r="T165" s="299">
        <f>T164</f>
        <v>85645</v>
      </c>
      <c r="V165" s="277" t="s">
        <v>13</v>
      </c>
      <c r="W165" s="278">
        <f>SUM(W158:W164)</f>
        <v>-40614</v>
      </c>
      <c r="X165" s="289">
        <f>X164</f>
        <v>-85645</v>
      </c>
      <c r="Y165" s="509"/>
      <c r="AC165" s="303"/>
    </row>
    <row r="166" spans="1:29" s="6" customFormat="1" ht="15" customHeight="1" thickBot="1" x14ac:dyDescent="0.35">
      <c r="A166" s="409" t="s">
        <v>15</v>
      </c>
      <c r="B166" s="410"/>
      <c r="C166" s="408"/>
      <c r="D166" s="412"/>
      <c r="E166" s="412"/>
      <c r="F166" s="412"/>
      <c r="H166" s="514"/>
      <c r="I166" s="518"/>
      <c r="J166" s="518"/>
      <c r="K166" s="521">
        <f>F166*'Income Data'!K4</f>
        <v>0</v>
      </c>
      <c r="M166" s="290" t="s">
        <v>7</v>
      </c>
      <c r="N166" s="291">
        <f t="shared" ref="N166:S166" si="28">N157+N165</f>
        <v>0</v>
      </c>
      <c r="O166" s="291">
        <f t="shared" si="28"/>
        <v>1400</v>
      </c>
      <c r="P166" s="291">
        <f t="shared" si="28"/>
        <v>33800</v>
      </c>
      <c r="Q166" s="291">
        <f t="shared" si="28"/>
        <v>10500</v>
      </c>
      <c r="R166" s="292">
        <f t="shared" si="28"/>
        <v>39945</v>
      </c>
      <c r="S166" s="292">
        <f t="shared" si="28"/>
        <v>85645</v>
      </c>
      <c r="T166" s="300">
        <f>T164</f>
        <v>85645</v>
      </c>
      <c r="V166" s="295" t="s">
        <v>7</v>
      </c>
      <c r="W166" s="296">
        <f>W157+W165</f>
        <v>-85645</v>
      </c>
      <c r="X166" s="297">
        <f>X164</f>
        <v>-85645</v>
      </c>
      <c r="Y166" s="509"/>
      <c r="AC166" s="303"/>
    </row>
    <row r="167" spans="1:29" s="6" customFormat="1" x14ac:dyDescent="0.3">
      <c r="A167" s="276"/>
      <c r="B167" s="590"/>
      <c r="C167" s="591" t="s">
        <v>342</v>
      </c>
      <c r="D167" s="592"/>
      <c r="E167" s="592"/>
      <c r="F167" s="592"/>
      <c r="AC167" s="303"/>
    </row>
    <row r="168" spans="1:29" s="6" customFormat="1" ht="17.25" customHeight="1" x14ac:dyDescent="0.3">
      <c r="A168" s="256"/>
      <c r="B168" s="394"/>
      <c r="C168" s="345"/>
      <c r="D168" s="276"/>
      <c r="E168" s="276"/>
      <c r="F168" s="276"/>
      <c r="G168" s="241"/>
      <c r="I168" s="317"/>
      <c r="J168" s="509"/>
      <c r="K168" s="509"/>
      <c r="AB168" s="303"/>
    </row>
    <row r="170" spans="1:29" x14ac:dyDescent="0.3">
      <c r="D170" s="346"/>
      <c r="E170" s="346"/>
      <c r="G170" s="347"/>
    </row>
    <row r="171" spans="1:29" x14ac:dyDescent="0.3">
      <c r="D171" s="346"/>
      <c r="E171" s="346"/>
      <c r="G171" s="347"/>
    </row>
    <row r="172" spans="1:29" x14ac:dyDescent="0.3">
      <c r="D172" s="346"/>
      <c r="E172" s="346"/>
    </row>
  </sheetData>
  <sheetProtection algorithmName="SHA-512" hashValue="OfJ1jdsTVX/ZC0n6PgBlHnlUp2vN3HCHQUFRi8iYu9o7wJtxRpxz8kBy8/Xq9NBYE8c/5pkhZPmA2myYMpvjwg==" saltValue="8gT+/HvT9EsjCcg5xvx6fA==" spinCount="100000" sheet="1" objects="1" scenarios="1"/>
  <mergeCells count="25">
    <mergeCell ref="C69:G69"/>
    <mergeCell ref="A79:C79"/>
    <mergeCell ref="A80:C80"/>
    <mergeCell ref="E110:F110"/>
    <mergeCell ref="E111:F111"/>
    <mergeCell ref="E109:F109"/>
    <mergeCell ref="C106:G106"/>
    <mergeCell ref="C72:F72"/>
    <mergeCell ref="C73:F73"/>
    <mergeCell ref="C74:F74"/>
    <mergeCell ref="C26:C30"/>
    <mergeCell ref="B1:C1"/>
    <mergeCell ref="D31:E31"/>
    <mergeCell ref="D32:E32"/>
    <mergeCell ref="D37:F37"/>
    <mergeCell ref="A131:F131"/>
    <mergeCell ref="A148:F148"/>
    <mergeCell ref="D84:G85"/>
    <mergeCell ref="D90:G92"/>
    <mergeCell ref="D96:G98"/>
    <mergeCell ref="C103:G103"/>
    <mergeCell ref="D86:G86"/>
    <mergeCell ref="A115:F115"/>
    <mergeCell ref="A116:F116"/>
    <mergeCell ref="D108:F108"/>
  </mergeCells>
  <conditionalFormatting sqref="A8:B9">
    <cfRule type="expression" dxfId="48" priority="64">
      <formula>NOT($B$7="ENGLAND")</formula>
    </cfRule>
  </conditionalFormatting>
  <conditionalFormatting sqref="A9:B9">
    <cfRule type="expression" dxfId="47" priority="62">
      <formula>$B$8="No"</formula>
    </cfRule>
  </conditionalFormatting>
  <conditionalFormatting sqref="A117:F129">
    <cfRule type="expression" dxfId="46" priority="7">
      <formula>AND($B$7="England", $B$8="Yes")</formula>
    </cfRule>
  </conditionalFormatting>
  <conditionalFormatting sqref="A132:F146">
    <cfRule type="expression" dxfId="45" priority="1">
      <formula>AND($B$7="England", $B$8="Yes", $B$9="10-Yearly")</formula>
    </cfRule>
  </conditionalFormatting>
  <conditionalFormatting sqref="A149:F166">
    <cfRule type="expression" dxfId="44" priority="5">
      <formula>AND($B$7="England", $B$8="Yes", $B$9="5-Yearly")</formula>
    </cfRule>
  </conditionalFormatting>
  <conditionalFormatting sqref="B31">
    <cfRule type="expression" dxfId="43" priority="185" stopIfTrue="1">
      <formula>ROUND($B$31,0)&gt;ROUND($C$31,0)</formula>
    </cfRule>
  </conditionalFormatting>
  <conditionalFormatting sqref="B32">
    <cfRule type="expression" dxfId="42" priority="226" stopIfTrue="1">
      <formula>ROUND($B$32,0)&gt;ROUND($C$32,0)</formula>
    </cfRule>
  </conditionalFormatting>
  <conditionalFormatting sqref="B45">
    <cfRule type="expression" dxfId="41" priority="75">
      <formula>OR($B$45&gt;$B$10,$B$45&lt;$B$10)</formula>
    </cfRule>
    <cfRule type="expression" dxfId="40" priority="76">
      <formula>$B$45=$B$10</formula>
    </cfRule>
  </conditionalFormatting>
  <conditionalFormatting sqref="B54">
    <cfRule type="expression" dxfId="39" priority="137">
      <formula>OR($B$54&gt;$B$10,$B$54&lt;$B$10)</formula>
    </cfRule>
    <cfRule type="expression" dxfId="38" priority="138">
      <formula>$B$54=$B$10</formula>
    </cfRule>
  </conditionalFormatting>
  <conditionalFormatting sqref="B55">
    <cfRule type="expression" dxfId="37" priority="123" stopIfTrue="1">
      <formula>$B$55&gt;$B$10</formula>
    </cfRule>
  </conditionalFormatting>
  <conditionalFormatting sqref="B69">
    <cfRule type="expression" dxfId="36" priority="139" stopIfTrue="1">
      <formula>$B$69&gt;$B$10</formula>
    </cfRule>
    <cfRule type="expression" dxfId="35" priority="146" stopIfTrue="1">
      <formula>$B$69&lt;$B$10</formula>
    </cfRule>
    <cfRule type="expression" dxfId="34" priority="147" stopIfTrue="1">
      <formula>$B$69=$B$10</formula>
    </cfRule>
  </conditionalFormatting>
  <conditionalFormatting sqref="B106">
    <cfRule type="expression" dxfId="33" priority="181" stopIfTrue="1">
      <formula>ROUND($B$106,2)=ROUND($B$11,2)</formula>
    </cfRule>
    <cfRule type="expression" dxfId="32" priority="182" stopIfTrue="1">
      <formula>OR(ROUND($B$106,2)&gt;ROUND($B$11,2),ROUND(B106,2)&lt;ROUND(B11,2))</formula>
    </cfRule>
  </conditionalFormatting>
  <conditionalFormatting sqref="C7">
    <cfRule type="expression" dxfId="31" priority="61">
      <formula>$B$7="Select one"</formula>
    </cfRule>
    <cfRule type="expression" dxfId="30" priority="60">
      <formula>$B$7=NOT("Select Country")</formula>
    </cfRule>
  </conditionalFormatting>
  <conditionalFormatting sqref="C37">
    <cfRule type="expression" dxfId="29" priority="30">
      <formula>ROUND($C$37,0)&gt;ROUND($B$10,0)</formula>
    </cfRule>
  </conditionalFormatting>
  <conditionalFormatting sqref="C103:C105">
    <cfRule type="containsText" dxfId="28" priority="124" stopIfTrue="1" operator="containsText" text="ERROR">
      <formula>NOT(ISERROR(SEARCH("ERROR",C103)))</formula>
    </cfRule>
    <cfRule type="cellIs" dxfId="27" priority="125" stopIfTrue="1" operator="equal">
      <formula>ERROR</formula>
    </cfRule>
  </conditionalFormatting>
  <conditionalFormatting sqref="D130">
    <cfRule type="expression" dxfId="26" priority="86">
      <formula>D129=SUM(D118:D128)</formula>
    </cfRule>
    <cfRule type="expression" dxfId="25" priority="71">
      <formula>OR(D129&gt;SUM(D118:D128),D129&lt;SUM($D$118:$D$128))</formula>
    </cfRule>
  </conditionalFormatting>
  <conditionalFormatting sqref="D147">
    <cfRule type="expression" dxfId="24" priority="82">
      <formula>D$146=D$137+D$145</formula>
    </cfRule>
    <cfRule type="expression" dxfId="23" priority="69">
      <formula>OR(D$137+D$145&lt;D$146,D$137+D$145&gt;D$146)</formula>
    </cfRule>
  </conditionalFormatting>
  <conditionalFormatting sqref="D167">
    <cfRule type="expression" dxfId="22" priority="66">
      <formula>OR(D$157+D$165&lt;D$166,D$157+D$165&gt;D$166)</formula>
    </cfRule>
    <cfRule type="expression" dxfId="21" priority="79">
      <formula>D$166=$D$157+$D$165</formula>
    </cfRule>
  </conditionalFormatting>
  <conditionalFormatting sqref="D59:F59">
    <cfRule type="expression" dxfId="20" priority="29">
      <formula>SUM($D$59,$E$59,$F$59)&gt;1</formula>
    </cfRule>
  </conditionalFormatting>
  <conditionalFormatting sqref="D60:F60">
    <cfRule type="expression" dxfId="19" priority="28">
      <formula>SUM($D$60,$E$60,$F$60)&gt;1</formula>
    </cfRule>
  </conditionalFormatting>
  <conditionalFormatting sqref="D61:F61">
    <cfRule type="expression" dxfId="18" priority="27">
      <formula>SUM($D$61,$E$61,$F$61)&gt;1</formula>
    </cfRule>
  </conditionalFormatting>
  <conditionalFormatting sqref="D62:F62">
    <cfRule type="expression" dxfId="17" priority="26">
      <formula>SUM($D$62,$E$62,$F$62)&gt;1</formula>
    </cfRule>
  </conditionalFormatting>
  <conditionalFormatting sqref="D65:F65">
    <cfRule type="expression" dxfId="16" priority="21">
      <formula>SUM($D$65,$E$65,$F$65)&gt;1</formula>
    </cfRule>
  </conditionalFormatting>
  <conditionalFormatting sqref="D66:F66">
    <cfRule type="expression" dxfId="15" priority="20">
      <formula>SUM($D$66,$E$66,$F$66)&gt;1</formula>
    </cfRule>
  </conditionalFormatting>
  <conditionalFormatting sqref="E130:F130">
    <cfRule type="expression" dxfId="14" priority="193">
      <formula>OR(E129&gt;SUM(E118:E128),E129&lt;SUM($E$118:$E$128))</formula>
    </cfRule>
    <cfRule type="expression" dxfId="13" priority="194">
      <formula>E129=SUM($E$118:$E$128)</formula>
    </cfRule>
  </conditionalFormatting>
  <conditionalFormatting sqref="E147:F147">
    <cfRule type="expression" dxfId="12" priority="199">
      <formula>OR(E$137+E$145&gt;E$146,E$137+E$145&lt;E$146)</formula>
    </cfRule>
    <cfRule type="expression" dxfId="11" priority="200">
      <formula>E$146=$E$137+$E$145</formula>
    </cfRule>
  </conditionalFormatting>
  <conditionalFormatting sqref="E167:F167">
    <cfRule type="expression" dxfId="10" priority="205">
      <formula>OR(E157+E165&lt;E166,E157+E165&gt;E166)</formula>
    </cfRule>
    <cfRule type="expression" dxfId="9" priority="206">
      <formula>E166=$E$157+$E$165</formula>
    </cfRule>
  </conditionalFormatting>
  <conditionalFormatting sqref="G59">
    <cfRule type="expression" dxfId="8" priority="25">
      <formula>$G$59&gt;1</formula>
    </cfRule>
  </conditionalFormatting>
  <conditionalFormatting sqref="G60">
    <cfRule type="expression" dxfId="7" priority="24">
      <formula>$G$60&gt;1</formula>
    </cfRule>
  </conditionalFormatting>
  <conditionalFormatting sqref="G61">
    <cfRule type="expression" dxfId="6" priority="23">
      <formula>$G$61&gt;1</formula>
    </cfRule>
  </conditionalFormatting>
  <conditionalFormatting sqref="G62">
    <cfRule type="expression" dxfId="5" priority="22">
      <formula>$G$62&gt;1</formula>
    </cfRule>
  </conditionalFormatting>
  <conditionalFormatting sqref="G65">
    <cfRule type="expression" dxfId="4" priority="19">
      <formula>$G$65&gt;1</formula>
    </cfRule>
  </conditionalFormatting>
  <conditionalFormatting sqref="G66">
    <cfRule type="expression" dxfId="3" priority="18">
      <formula>$G$66&gt;1</formula>
    </cfRule>
  </conditionalFormatting>
  <dataValidations count="28">
    <dataValidation type="textLength" allowBlank="1" showInputMessage="1" showErrorMessage="1" sqref="B56 B15 B47 B39 A72:A73 B75" xr:uid="{472865B1-FBC0-439B-BBD8-79F43B57CBD9}">
      <formula1>0</formula1>
      <formula2>30</formula2>
    </dataValidation>
    <dataValidation type="decimal" operator="greaterThan" allowBlank="1" showErrorMessage="1" errorTitle="Invalid Entry" error="Please enter numbers only" sqref="B11" xr:uid="{FD7AFE70-1462-4CCB-96F0-56B47F9ABEA6}">
      <formula1>0</formula1>
    </dataValidation>
    <dataValidation type="textLength" operator="equal" allowBlank="1" showErrorMessage="1" errorTitle="Invalid Entry" error="Please enter the project ID" sqref="B6" xr:uid="{02727552-ABF3-4B66-8519-25ACF9F55425}">
      <formula1>15</formula1>
    </dataValidation>
    <dataValidation type="list" allowBlank="1" showInputMessage="1" showErrorMessage="1" sqref="B17 D64:E64 B86 B37 D68:F68" xr:uid="{A750FF42-0B83-4E01-895C-590824E3124A}">
      <formula1>"Select one, Yes, No"</formula1>
    </dataValidation>
    <dataValidation type="list" allowBlank="1" showInputMessage="1" showErrorMessage="1" sqref="B9" xr:uid="{0B0C3A89-D07F-430C-9D19-A93EFFA1DD7D}">
      <formula1>"5-Yearly, 10-Yearly"</formula1>
    </dataValidation>
    <dataValidation type="list" allowBlank="1" showInputMessage="1" showErrorMessage="1" sqref="B13" xr:uid="{64182E93-27B6-4CB5-845E-D0ABECD1457F}">
      <formula1>"20,25,30,35,40,45,50,55,60,65,70,75,80,85,90,95,100"</formula1>
    </dataValidation>
    <dataValidation type="list" allowBlank="1" showInputMessage="1" showErrorMessage="1" sqref="B16" xr:uid="{B3467723-A87F-4671-B329-B851D9D17D2F}">
      <formula1>"Single project, Group of projects"</formula1>
    </dataValidation>
    <dataValidation type="list" allowBlank="1" showInputMessage="1" showErrorMessage="1" sqref="B7 B9" xr:uid="{11F53502-42AA-48E7-9A92-E1818CC75190}">
      <formula1>"Select one, England,Scotland,Wales,Northern_Ireland"</formula1>
    </dataValidation>
    <dataValidation operator="greaterThanOrEqual" allowBlank="1" showInputMessage="1" showErrorMessage="1" sqref="B69:B70" xr:uid="{D423FD20-9240-4994-8B50-E07410FF50F2}"/>
    <dataValidation allowBlank="1" showInputMessage="1" showErrorMessage="1" promptTitle="Site Preparation" prompt="Please select site disturbance/ ground prep category" sqref="A55 A42:A44" xr:uid="{2D990CB7-6BE4-47FD-B84A-6663B53B3301}"/>
    <dataValidation operator="lessThanOrEqual" allowBlank="1" showErrorMessage="1" errorTitle="Value too high" error="Please insert a value lower than 20m per net planted hectare." sqref="C33 J32 C39:C44 C46 D38:E46 B33:B36 B32:D32" xr:uid="{D9C98A0A-B45B-4F38-9004-12344482112D}"/>
    <dataValidation type="list" allowBlank="1" showInputMessage="1" showErrorMessage="1" sqref="H5" xr:uid="{BFD314A4-4233-4C49-B0A4-84A87AB91403}">
      <formula1>"3%,4%,3.5% Declining"</formula1>
    </dataValidation>
    <dataValidation type="decimal" operator="lessThanOrEqual" allowBlank="1" showErrorMessage="1" errorTitle="Value too high" error="Please insert a value lower than 20m per net planted hectare." sqref="F45" xr:uid="{C480875A-391B-4610-853B-0E3B4212CE77}">
      <formula1>F16*20</formula1>
    </dataValidation>
    <dataValidation type="decimal" operator="lessThanOrEqual" allowBlank="1" showErrorMessage="1" errorTitle="Value too high" error="Please insert a value lower than 20m per net planted hectare." sqref="F33" xr:uid="{972A21B8-F051-46DD-BDF7-801C5199AE76}">
      <formula1>F12*20</formula1>
    </dataValidation>
    <dataValidation allowBlank="1" showInputMessage="1" showErrorMessage="1" errorTitle="Track Creation" error="Max claimable is 40m/net hectare" sqref="B31" xr:uid="{B4EADA09-E267-410C-BC04-63C55C64762A}"/>
    <dataValidation type="decimal" operator="lessThanOrEqual" allowBlank="1" showErrorMessage="1" errorTitle="Value too high" error="Please insert a value lower than 20m per net planted hectare." sqref="F43" xr:uid="{8F6BBFDC-5AF9-400B-A4C4-510B3C97B5E9}">
      <formula1>#REF!*20</formula1>
    </dataValidation>
    <dataValidation type="decimal" operator="greaterThanOrEqual" allowBlank="1" showErrorMessage="1" errorTitle="Invalid Entry" error="Please enter numbers only" sqref="B10" xr:uid="{4534F405-E033-42EC-B3A4-61F59FEF8812}">
      <formula1>0</formula1>
    </dataValidation>
    <dataValidation type="decimal" operator="lessThanOrEqual" allowBlank="1" showErrorMessage="1" errorTitle="Value too high" error="Please insert a value lower than 20m per net planted hectare." sqref="B46 F46" xr:uid="{C7463A2E-742F-4407-8427-20B1BC4AEED3}">
      <formula1>B16*20</formula1>
    </dataValidation>
    <dataValidation type="decimal" allowBlank="1" showInputMessage="1" showErrorMessage="1" error="Enter a number greater than zero and less than or equal to 5" sqref="C65:C66 C59:C62" xr:uid="{32891FD0-517B-4F8E-82B6-099414E8C8D7}">
      <formula1>0.01</formula1>
      <formula2>5</formula2>
    </dataValidation>
    <dataValidation type="list" allowBlank="1" showInputMessage="1" showErrorMessage="1" sqref="B8" xr:uid="{AA9C9B4A-DCAF-4604-8BDB-F5367CC30F24}">
      <formula1>"Yes, No"</formula1>
    </dataValidation>
    <dataValidation type="decimal" operator="lessThanOrEqual" allowBlank="1" showErrorMessage="1" errorTitle="Value too high" error="Please insert a value lower than 20m per net planted hectare." sqref="F44" xr:uid="{80CE9A2E-EA26-4DD8-82B5-B98D5D31CD90}">
      <formula1>F8*20</formula1>
    </dataValidation>
    <dataValidation type="decimal" operator="lessThanOrEqual" allowBlank="1" showErrorMessage="1" errorTitle="Value too high" error="Please insert a value lower than 20m per net planted hectare." sqref="F42" xr:uid="{C44BC846-86F0-437F-BD13-E51737B46890}">
      <formula1>F15*20</formula1>
    </dataValidation>
    <dataValidation type="list" allowBlank="1" showInputMessage="1" showErrorMessage="1" sqref="B8" xr:uid="{18DA86EE-FECB-435B-8811-2EB2AD0A9966}">
      <formula1>"Select one,Yes,No"</formula1>
    </dataValidation>
    <dataValidation type="decimal" operator="lessThanOrEqual" allowBlank="1" showErrorMessage="1" errorTitle="Value too high" error="Please insert a value lower than 20m per net planted hectare." sqref="F39:F41" xr:uid="{09BD6B99-5690-4872-95A8-164088F31EE2}">
      <formula1>F13*20</formula1>
    </dataValidation>
    <dataValidation type="whole" allowBlank="1" showInputMessage="1" showErrorMessage="1" sqref="C96:C98" xr:uid="{CB59C978-8488-46D4-AF4D-95786DFA82FB}">
      <formula1>$B$12</formula1>
      <formula2>$B$12+$B$13</formula2>
    </dataValidation>
    <dataValidation type="date" showErrorMessage="1" errorTitle="Invalid Entry" error="Please enter date in the format dd/mm/yyyy" sqref="B14:G14" xr:uid="{E29A1844-1505-49A4-BCEF-1A0B0E62DAAA}">
      <formula1>40544</formula1>
      <formula2>73415</formula2>
    </dataValidation>
    <dataValidation type="whole" allowBlank="1" showErrorMessage="1" errorTitle="Invalid Entry" error="Please enter start year in the format yyyy" sqref="B12 D12:G12" xr:uid="{5B160E79-3352-4280-808A-9F419051C7EA}">
      <formula1>2018</formula1>
      <formula2>2030</formula2>
    </dataValidation>
    <dataValidation type="decimal" operator="lessThanOrEqual" allowBlank="1" showErrorMessage="1" errorTitle="Value too high" error="Please insert a value lower than 20m per net planted hectare." sqref="B38 F38" xr:uid="{04E98076-1815-4F84-9DE5-4EDC8AAC2523}">
      <formula1>B13*20</formula1>
    </dataValidation>
  </dataValidations>
  <hyperlinks>
    <hyperlink ref="B111" r:id="rId1" xr:uid="{00161D6A-6133-4F8A-8FC6-E364C42F7C40}"/>
    <hyperlink ref="C110" r:id="rId2" display="Scotland's Environment Web -&gt; Search 'National Scale Land Capability for Agriculture 1:250 000' and for more detail in some areas 'Land Capability for Agriculture Partial Cover 1:50,000'" xr:uid="{5103D2A6-AEA0-42CB-806A-6CB507FA1889}"/>
    <hyperlink ref="C111" r:id="rId3" display="Scotland's Environment Web -&gt; Search 'National Scale Land Capability for Agriculture 1:250 000' and for more detail in some areas 'Land Capability for Agriculture Partial Cover 1:50,000'" xr:uid="{FCFF7AFA-AC26-4CCE-AC9E-EE57DEBBF426}"/>
    <hyperlink ref="D111" r:id="rId4" location="/" display="Data Map Wales -&gt; Search 'Predictive Agricultural Land Classification (ALC) Map 2'" xr:uid="{8ED2C775-22D8-4ACD-A0E8-9E4807DB487F}"/>
    <hyperlink ref="D110" r:id="rId5" location="/" display="Data Map Wales -&gt; Search 'Predictive Agricultural Land Classification (ALC) Map 2'" xr:uid="{740C9606-414A-48E9-AA06-63D34DC9F957}"/>
    <hyperlink ref="B110" r:id="rId6" xr:uid="{0454DE62-38D0-4AE7-9712-A1EA78D870D3}"/>
  </hyperlinks>
  <pageMargins left="0.7" right="0.7" top="0.75" bottom="0.75" header="0.3" footer="0.3"/>
  <pageSetup paperSize="9" orientation="portrait" horizontalDpi="90" verticalDpi="90" r:id="rId7"/>
  <ignoredErrors>
    <ignoredError sqref="B6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3" tint="0.79998168889431442"/>
  </sheetPr>
  <dimension ref="A1:CY103"/>
  <sheetViews>
    <sheetView zoomScale="85" zoomScaleNormal="85" workbookViewId="0">
      <pane xSplit="2" ySplit="3" topLeftCell="C4" activePane="bottomRight" state="frozen"/>
      <selection pane="topRight" activeCell="C1" sqref="C1"/>
      <selection pane="bottomLeft" activeCell="A4" sqref="A4"/>
      <selection pane="bottomRight"/>
    </sheetView>
  </sheetViews>
  <sheetFormatPr defaultColWidth="9" defaultRowHeight="13.5" x14ac:dyDescent="0.3"/>
  <cols>
    <col min="1" max="1" width="17.23046875" customWidth="1"/>
    <col min="2" max="2" width="46.3046875" customWidth="1"/>
    <col min="3" max="3" width="16.15234375" style="109" customWidth="1"/>
    <col min="4" max="103" width="12.61328125" customWidth="1"/>
  </cols>
  <sheetData>
    <row r="1" spans="1:103" ht="15" customHeight="1" thickBot="1" x14ac:dyDescent="0.35"/>
    <row r="2" spans="1:103" ht="15" customHeight="1" thickBot="1" x14ac:dyDescent="0.35">
      <c r="A2" s="664" t="s">
        <v>519</v>
      </c>
      <c r="B2" s="665"/>
      <c r="C2" s="666"/>
      <c r="D2" s="667">
        <f>'Data Entry'!B12</f>
        <v>2025</v>
      </c>
      <c r="E2" s="665">
        <f>D2+1</f>
        <v>2026</v>
      </c>
      <c r="F2" s="665">
        <f t="shared" ref="F2:BQ2" si="0">E2+1</f>
        <v>2027</v>
      </c>
      <c r="G2" s="665">
        <f t="shared" si="0"/>
        <v>2028</v>
      </c>
      <c r="H2" s="665">
        <f t="shared" si="0"/>
        <v>2029</v>
      </c>
      <c r="I2" s="665">
        <f>H2+1</f>
        <v>2030</v>
      </c>
      <c r="J2" s="665">
        <f t="shared" si="0"/>
        <v>2031</v>
      </c>
      <c r="K2" s="665">
        <f t="shared" si="0"/>
        <v>2032</v>
      </c>
      <c r="L2" s="665">
        <f t="shared" si="0"/>
        <v>2033</v>
      </c>
      <c r="M2" s="665">
        <f t="shared" si="0"/>
        <v>2034</v>
      </c>
      <c r="N2" s="665">
        <f>M2+1</f>
        <v>2035</v>
      </c>
      <c r="O2" s="665">
        <f t="shared" si="0"/>
        <v>2036</v>
      </c>
      <c r="P2" s="665">
        <f>O2+1</f>
        <v>2037</v>
      </c>
      <c r="Q2" s="665">
        <f>P2+1</f>
        <v>2038</v>
      </c>
      <c r="R2" s="665">
        <f t="shared" si="0"/>
        <v>2039</v>
      </c>
      <c r="S2" s="665">
        <f t="shared" si="0"/>
        <v>2040</v>
      </c>
      <c r="T2" s="665">
        <f>S2+1</f>
        <v>2041</v>
      </c>
      <c r="U2" s="665">
        <f t="shared" si="0"/>
        <v>2042</v>
      </c>
      <c r="V2" s="665">
        <f t="shared" si="0"/>
        <v>2043</v>
      </c>
      <c r="W2" s="665">
        <f t="shared" si="0"/>
        <v>2044</v>
      </c>
      <c r="X2" s="665">
        <f t="shared" si="0"/>
        <v>2045</v>
      </c>
      <c r="Y2" s="665">
        <f t="shared" si="0"/>
        <v>2046</v>
      </c>
      <c r="Z2" s="665">
        <f t="shared" si="0"/>
        <v>2047</v>
      </c>
      <c r="AA2" s="665">
        <f t="shared" si="0"/>
        <v>2048</v>
      </c>
      <c r="AB2" s="665">
        <f t="shared" si="0"/>
        <v>2049</v>
      </c>
      <c r="AC2" s="665">
        <f t="shared" si="0"/>
        <v>2050</v>
      </c>
      <c r="AD2" s="665">
        <f t="shared" si="0"/>
        <v>2051</v>
      </c>
      <c r="AE2" s="665">
        <f t="shared" si="0"/>
        <v>2052</v>
      </c>
      <c r="AF2" s="665">
        <f t="shared" si="0"/>
        <v>2053</v>
      </c>
      <c r="AG2" s="665">
        <f t="shared" si="0"/>
        <v>2054</v>
      </c>
      <c r="AH2" s="665">
        <f t="shared" si="0"/>
        <v>2055</v>
      </c>
      <c r="AI2" s="665">
        <f t="shared" si="0"/>
        <v>2056</v>
      </c>
      <c r="AJ2" s="665">
        <f t="shared" si="0"/>
        <v>2057</v>
      </c>
      <c r="AK2" s="665">
        <f t="shared" si="0"/>
        <v>2058</v>
      </c>
      <c r="AL2" s="665">
        <f t="shared" si="0"/>
        <v>2059</v>
      </c>
      <c r="AM2" s="665">
        <f t="shared" si="0"/>
        <v>2060</v>
      </c>
      <c r="AN2" s="665">
        <f t="shared" si="0"/>
        <v>2061</v>
      </c>
      <c r="AO2" s="668">
        <f t="shared" si="0"/>
        <v>2062</v>
      </c>
      <c r="AP2" s="665">
        <f t="shared" si="0"/>
        <v>2063</v>
      </c>
      <c r="AQ2" s="665">
        <f t="shared" si="0"/>
        <v>2064</v>
      </c>
      <c r="AR2" s="665">
        <f t="shared" si="0"/>
        <v>2065</v>
      </c>
      <c r="AS2" s="665">
        <f t="shared" si="0"/>
        <v>2066</v>
      </c>
      <c r="AT2" s="665">
        <f t="shared" si="0"/>
        <v>2067</v>
      </c>
      <c r="AU2" s="665">
        <f t="shared" si="0"/>
        <v>2068</v>
      </c>
      <c r="AV2" s="665">
        <f t="shared" si="0"/>
        <v>2069</v>
      </c>
      <c r="AW2" s="665">
        <f t="shared" si="0"/>
        <v>2070</v>
      </c>
      <c r="AX2" s="665">
        <f t="shared" si="0"/>
        <v>2071</v>
      </c>
      <c r="AY2" s="665">
        <f t="shared" si="0"/>
        <v>2072</v>
      </c>
      <c r="AZ2" s="665">
        <f t="shared" si="0"/>
        <v>2073</v>
      </c>
      <c r="BA2" s="665">
        <f t="shared" si="0"/>
        <v>2074</v>
      </c>
      <c r="BB2" s="665">
        <f t="shared" si="0"/>
        <v>2075</v>
      </c>
      <c r="BC2" s="665">
        <f t="shared" si="0"/>
        <v>2076</v>
      </c>
      <c r="BD2" s="665">
        <f t="shared" si="0"/>
        <v>2077</v>
      </c>
      <c r="BE2" s="665">
        <f t="shared" si="0"/>
        <v>2078</v>
      </c>
      <c r="BF2" s="665">
        <f t="shared" si="0"/>
        <v>2079</v>
      </c>
      <c r="BG2" s="665">
        <f t="shared" si="0"/>
        <v>2080</v>
      </c>
      <c r="BH2" s="665">
        <f t="shared" si="0"/>
        <v>2081</v>
      </c>
      <c r="BI2" s="665">
        <f t="shared" si="0"/>
        <v>2082</v>
      </c>
      <c r="BJ2" s="665">
        <f t="shared" si="0"/>
        <v>2083</v>
      </c>
      <c r="BK2" s="668">
        <f t="shared" si="0"/>
        <v>2084</v>
      </c>
      <c r="BL2" s="665">
        <f t="shared" si="0"/>
        <v>2085</v>
      </c>
      <c r="BM2" s="665">
        <f t="shared" si="0"/>
        <v>2086</v>
      </c>
      <c r="BN2" s="665">
        <f t="shared" si="0"/>
        <v>2087</v>
      </c>
      <c r="BO2" s="665">
        <f t="shared" si="0"/>
        <v>2088</v>
      </c>
      <c r="BP2" s="665">
        <f t="shared" si="0"/>
        <v>2089</v>
      </c>
      <c r="BQ2" s="665">
        <f t="shared" si="0"/>
        <v>2090</v>
      </c>
      <c r="BR2" s="665">
        <f t="shared" ref="BR2:CW2" si="1">BQ2+1</f>
        <v>2091</v>
      </c>
      <c r="BS2" s="665">
        <f t="shared" si="1"/>
        <v>2092</v>
      </c>
      <c r="BT2" s="665">
        <f t="shared" si="1"/>
        <v>2093</v>
      </c>
      <c r="BU2" s="665">
        <f t="shared" si="1"/>
        <v>2094</v>
      </c>
      <c r="BV2" s="665">
        <f t="shared" si="1"/>
        <v>2095</v>
      </c>
      <c r="BW2" s="665">
        <f t="shared" si="1"/>
        <v>2096</v>
      </c>
      <c r="BX2" s="665">
        <f t="shared" si="1"/>
        <v>2097</v>
      </c>
      <c r="BY2" s="665">
        <f t="shared" si="1"/>
        <v>2098</v>
      </c>
      <c r="BZ2" s="665">
        <f t="shared" si="1"/>
        <v>2099</v>
      </c>
      <c r="CA2" s="668">
        <f t="shared" si="1"/>
        <v>2100</v>
      </c>
      <c r="CB2" s="665">
        <f t="shared" si="1"/>
        <v>2101</v>
      </c>
      <c r="CC2" s="665">
        <f t="shared" si="1"/>
        <v>2102</v>
      </c>
      <c r="CD2" s="665">
        <f t="shared" si="1"/>
        <v>2103</v>
      </c>
      <c r="CE2" s="665">
        <f t="shared" si="1"/>
        <v>2104</v>
      </c>
      <c r="CF2" s="665">
        <f t="shared" si="1"/>
        <v>2105</v>
      </c>
      <c r="CG2" s="665">
        <f t="shared" si="1"/>
        <v>2106</v>
      </c>
      <c r="CH2" s="665">
        <f t="shared" si="1"/>
        <v>2107</v>
      </c>
      <c r="CI2" s="665">
        <f t="shared" si="1"/>
        <v>2108</v>
      </c>
      <c r="CJ2" s="665">
        <f t="shared" si="1"/>
        <v>2109</v>
      </c>
      <c r="CK2" s="665">
        <f t="shared" si="1"/>
        <v>2110</v>
      </c>
      <c r="CL2" s="665">
        <f t="shared" si="1"/>
        <v>2111</v>
      </c>
      <c r="CM2" s="665">
        <f t="shared" si="1"/>
        <v>2112</v>
      </c>
      <c r="CN2" s="665">
        <f t="shared" si="1"/>
        <v>2113</v>
      </c>
      <c r="CO2" s="665">
        <f t="shared" si="1"/>
        <v>2114</v>
      </c>
      <c r="CP2" s="665">
        <f t="shared" si="1"/>
        <v>2115</v>
      </c>
      <c r="CQ2" s="665">
        <f t="shared" si="1"/>
        <v>2116</v>
      </c>
      <c r="CR2" s="665">
        <f t="shared" si="1"/>
        <v>2117</v>
      </c>
      <c r="CS2" s="665">
        <f t="shared" si="1"/>
        <v>2118</v>
      </c>
      <c r="CT2" s="665">
        <f t="shared" si="1"/>
        <v>2119</v>
      </c>
      <c r="CU2" s="665">
        <f t="shared" si="1"/>
        <v>2120</v>
      </c>
      <c r="CV2" s="665">
        <f t="shared" si="1"/>
        <v>2121</v>
      </c>
      <c r="CW2" s="665">
        <f t="shared" si="1"/>
        <v>2122</v>
      </c>
      <c r="CX2" s="665">
        <f>CW2+1</f>
        <v>2123</v>
      </c>
      <c r="CY2" s="669">
        <f>CX2+1</f>
        <v>2124</v>
      </c>
    </row>
    <row r="3" spans="1:103" s="6" customFormat="1" ht="15" customHeight="1" thickBot="1" x14ac:dyDescent="0.35">
      <c r="A3" s="670" t="s">
        <v>1</v>
      </c>
      <c r="B3" s="671"/>
      <c r="C3" s="672"/>
      <c r="D3" s="673">
        <v>0</v>
      </c>
      <c r="E3" s="673">
        <v>1</v>
      </c>
      <c r="F3" s="673">
        <v>2</v>
      </c>
      <c r="G3" s="673">
        <v>3</v>
      </c>
      <c r="H3" s="673">
        <v>4</v>
      </c>
      <c r="I3" s="673">
        <v>5</v>
      </c>
      <c r="J3" s="673">
        <v>6</v>
      </c>
      <c r="K3" s="673">
        <v>7</v>
      </c>
      <c r="L3" s="673">
        <v>8</v>
      </c>
      <c r="M3" s="673">
        <v>9</v>
      </c>
      <c r="N3" s="673">
        <v>10</v>
      </c>
      <c r="O3" s="673">
        <v>11</v>
      </c>
      <c r="P3" s="673">
        <v>12</v>
      </c>
      <c r="Q3" s="673">
        <v>13</v>
      </c>
      <c r="R3" s="673">
        <v>14</v>
      </c>
      <c r="S3" s="673">
        <v>15</v>
      </c>
      <c r="T3" s="673">
        <v>16</v>
      </c>
      <c r="U3" s="673">
        <v>17</v>
      </c>
      <c r="V3" s="673">
        <v>18</v>
      </c>
      <c r="W3" s="673">
        <v>19</v>
      </c>
      <c r="X3" s="673">
        <v>20</v>
      </c>
      <c r="Y3" s="673">
        <v>21</v>
      </c>
      <c r="Z3" s="673">
        <v>22</v>
      </c>
      <c r="AA3" s="673">
        <v>23</v>
      </c>
      <c r="AB3" s="673">
        <v>24</v>
      </c>
      <c r="AC3" s="673">
        <v>25</v>
      </c>
      <c r="AD3" s="673">
        <v>26</v>
      </c>
      <c r="AE3" s="673">
        <v>27</v>
      </c>
      <c r="AF3" s="673">
        <v>28</v>
      </c>
      <c r="AG3" s="673">
        <v>29</v>
      </c>
      <c r="AH3" s="673">
        <v>30</v>
      </c>
      <c r="AI3" s="673">
        <v>31</v>
      </c>
      <c r="AJ3" s="673">
        <v>32</v>
      </c>
      <c r="AK3" s="673">
        <v>33</v>
      </c>
      <c r="AL3" s="673">
        <v>34</v>
      </c>
      <c r="AM3" s="673">
        <v>35</v>
      </c>
      <c r="AN3" s="673">
        <v>36</v>
      </c>
      <c r="AO3" s="674">
        <v>37</v>
      </c>
      <c r="AP3" s="673">
        <v>38</v>
      </c>
      <c r="AQ3" s="673">
        <v>39</v>
      </c>
      <c r="AR3" s="673">
        <v>40</v>
      </c>
      <c r="AS3" s="673">
        <v>41</v>
      </c>
      <c r="AT3" s="673">
        <v>42</v>
      </c>
      <c r="AU3" s="673">
        <v>43</v>
      </c>
      <c r="AV3" s="673">
        <v>44</v>
      </c>
      <c r="AW3" s="673">
        <v>45</v>
      </c>
      <c r="AX3" s="673">
        <v>46</v>
      </c>
      <c r="AY3" s="673">
        <v>47</v>
      </c>
      <c r="AZ3" s="673">
        <v>48</v>
      </c>
      <c r="BA3" s="673">
        <v>49</v>
      </c>
      <c r="BB3" s="673">
        <v>50</v>
      </c>
      <c r="BC3" s="673">
        <v>51</v>
      </c>
      <c r="BD3" s="673">
        <v>52</v>
      </c>
      <c r="BE3" s="673">
        <v>53</v>
      </c>
      <c r="BF3" s="673">
        <v>54</v>
      </c>
      <c r="BG3" s="673">
        <v>55</v>
      </c>
      <c r="BH3" s="673">
        <v>56</v>
      </c>
      <c r="BI3" s="673">
        <v>57</v>
      </c>
      <c r="BJ3" s="673">
        <v>58</v>
      </c>
      <c r="BK3" s="674">
        <v>59</v>
      </c>
      <c r="BL3" s="673">
        <v>60</v>
      </c>
      <c r="BM3" s="673">
        <v>61</v>
      </c>
      <c r="BN3" s="673">
        <v>62</v>
      </c>
      <c r="BO3" s="673">
        <v>63</v>
      </c>
      <c r="BP3" s="673">
        <v>64</v>
      </c>
      <c r="BQ3" s="673">
        <v>65</v>
      </c>
      <c r="BR3" s="673">
        <v>66</v>
      </c>
      <c r="BS3" s="673">
        <v>67</v>
      </c>
      <c r="BT3" s="673">
        <v>68</v>
      </c>
      <c r="BU3" s="673">
        <v>69</v>
      </c>
      <c r="BV3" s="673">
        <v>70</v>
      </c>
      <c r="BW3" s="673">
        <v>71</v>
      </c>
      <c r="BX3" s="673">
        <v>72</v>
      </c>
      <c r="BY3" s="673">
        <v>73</v>
      </c>
      <c r="BZ3" s="673">
        <v>74</v>
      </c>
      <c r="CA3" s="674">
        <v>75</v>
      </c>
      <c r="CB3" s="673">
        <v>76</v>
      </c>
      <c r="CC3" s="673">
        <v>77</v>
      </c>
      <c r="CD3" s="673">
        <v>78</v>
      </c>
      <c r="CE3" s="673">
        <v>79</v>
      </c>
      <c r="CF3" s="673">
        <v>80</v>
      </c>
      <c r="CG3" s="673">
        <v>81</v>
      </c>
      <c r="CH3" s="673">
        <v>82</v>
      </c>
      <c r="CI3" s="673">
        <v>83</v>
      </c>
      <c r="CJ3" s="673">
        <v>84</v>
      </c>
      <c r="CK3" s="673">
        <v>85</v>
      </c>
      <c r="CL3" s="673">
        <v>86</v>
      </c>
      <c r="CM3" s="673">
        <v>87</v>
      </c>
      <c r="CN3" s="673">
        <v>88</v>
      </c>
      <c r="CO3" s="673">
        <v>89</v>
      </c>
      <c r="CP3" s="673">
        <v>90</v>
      </c>
      <c r="CQ3" s="673">
        <v>91</v>
      </c>
      <c r="CR3" s="673">
        <v>92</v>
      </c>
      <c r="CS3" s="673">
        <v>93</v>
      </c>
      <c r="CT3" s="673">
        <v>94</v>
      </c>
      <c r="CU3" s="673">
        <v>95</v>
      </c>
      <c r="CV3" s="673">
        <v>96</v>
      </c>
      <c r="CW3" s="673">
        <v>97</v>
      </c>
      <c r="CX3" s="673">
        <v>98</v>
      </c>
      <c r="CY3" s="675">
        <v>99</v>
      </c>
    </row>
    <row r="4" spans="1:103" ht="15" customHeight="1" x14ac:dyDescent="0.3">
      <c r="A4" s="676" t="s">
        <v>0</v>
      </c>
      <c r="B4" s="22" t="s">
        <v>27</v>
      </c>
      <c r="C4" s="677"/>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678"/>
      <c r="AP4" s="23"/>
      <c r="AQ4" s="23"/>
      <c r="AR4" s="23"/>
      <c r="AS4" s="23"/>
      <c r="AT4" s="23"/>
      <c r="AU4" s="23"/>
      <c r="AV4" s="23"/>
      <c r="AW4" s="23"/>
      <c r="AX4" s="23"/>
      <c r="AY4" s="23"/>
      <c r="AZ4" s="23"/>
      <c r="BA4" s="23"/>
      <c r="BB4" s="23"/>
      <c r="BC4" s="23"/>
      <c r="BD4" s="23"/>
      <c r="BE4" s="23"/>
      <c r="BF4" s="23"/>
      <c r="BG4" s="23"/>
      <c r="BH4" s="23"/>
      <c r="BI4" s="23"/>
      <c r="BJ4" s="23"/>
      <c r="BK4" s="678"/>
      <c r="BL4" s="23"/>
      <c r="BM4" s="23"/>
      <c r="BN4" s="23"/>
      <c r="BO4" s="23"/>
      <c r="BP4" s="23"/>
      <c r="BQ4" s="23"/>
      <c r="BR4" s="23"/>
      <c r="BS4" s="23"/>
      <c r="BT4" s="23"/>
      <c r="BU4" s="23"/>
      <c r="BV4" s="23"/>
      <c r="BW4" s="23"/>
      <c r="BX4" s="23"/>
      <c r="BY4" s="23"/>
      <c r="BZ4" s="23"/>
      <c r="CA4" s="678"/>
      <c r="CB4" s="23"/>
      <c r="CC4" s="23"/>
      <c r="CD4" s="23"/>
      <c r="CE4" s="23"/>
      <c r="CF4" s="23"/>
      <c r="CG4" s="23"/>
      <c r="CH4" s="23"/>
      <c r="CI4" s="23"/>
      <c r="CJ4" s="23"/>
      <c r="CK4" s="23"/>
      <c r="CL4" s="23"/>
      <c r="CM4" s="23"/>
      <c r="CN4" s="23"/>
      <c r="CO4" s="23"/>
      <c r="CP4" s="23"/>
      <c r="CQ4" s="23"/>
      <c r="CR4" s="23"/>
      <c r="CS4" s="23"/>
      <c r="CT4" s="23"/>
      <c r="CU4" s="23"/>
      <c r="CV4" s="23"/>
      <c r="CW4" s="23"/>
      <c r="CX4" s="23"/>
      <c r="CY4" s="679"/>
    </row>
    <row r="5" spans="1:103" ht="15" customHeight="1" x14ac:dyDescent="0.3">
      <c r="A5" s="874" t="s">
        <v>520</v>
      </c>
      <c r="B5" s="680" t="s">
        <v>525</v>
      </c>
      <c r="C5" s="681">
        <f>SUM(D5:CY5)</f>
        <v>1695</v>
      </c>
      <c r="D5" s="682">
        <f>'Data Entry'!I22</f>
        <v>1695</v>
      </c>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683"/>
      <c r="AP5" s="42"/>
      <c r="AQ5" s="42"/>
      <c r="AR5" s="42"/>
      <c r="AS5" s="42"/>
      <c r="AT5" s="42"/>
      <c r="AU5" s="42"/>
      <c r="AV5" s="42"/>
      <c r="AW5" s="42"/>
      <c r="AX5" s="42"/>
      <c r="AY5" s="42"/>
      <c r="AZ5" s="42"/>
      <c r="BA5" s="42"/>
      <c r="BB5" s="42"/>
      <c r="BC5" s="42"/>
      <c r="BD5" s="42"/>
      <c r="BE5" s="42"/>
      <c r="BF5" s="42"/>
      <c r="BG5" s="42"/>
      <c r="BH5" s="42"/>
      <c r="BI5" s="42"/>
      <c r="BJ5" s="42"/>
      <c r="BK5" s="683"/>
      <c r="BL5" s="42"/>
      <c r="BM5" s="42"/>
      <c r="BN5" s="42"/>
      <c r="BO5" s="42"/>
      <c r="BP5" s="42"/>
      <c r="BQ5" s="42"/>
      <c r="BR5" s="42"/>
      <c r="BS5" s="42"/>
      <c r="BT5" s="42"/>
      <c r="BU5" s="42"/>
      <c r="BV5" s="42"/>
      <c r="BW5" s="42"/>
      <c r="BX5" s="42"/>
      <c r="BY5" s="42"/>
      <c r="BZ5" s="42"/>
      <c r="CA5" s="683"/>
      <c r="CB5" s="42"/>
      <c r="CC5" s="42"/>
      <c r="CD5" s="42"/>
      <c r="CE5" s="42"/>
      <c r="CF5" s="42"/>
      <c r="CG5" s="42"/>
      <c r="CH5" s="42"/>
      <c r="CI5" s="42"/>
      <c r="CJ5" s="42"/>
      <c r="CK5" s="42"/>
      <c r="CL5" s="42"/>
      <c r="CM5" s="42"/>
      <c r="CN5" s="42"/>
      <c r="CO5" s="42"/>
      <c r="CP5" s="42"/>
      <c r="CQ5" s="42"/>
      <c r="CR5" s="42"/>
      <c r="CS5" s="42"/>
      <c r="CT5" s="42"/>
      <c r="CU5" s="42"/>
      <c r="CV5" s="42"/>
      <c r="CW5" s="42"/>
      <c r="CX5" s="42"/>
      <c r="CY5" s="684"/>
    </row>
    <row r="6" spans="1:103" ht="15" customHeight="1" x14ac:dyDescent="0.3">
      <c r="A6" s="875"/>
      <c r="B6" s="680" t="s">
        <v>526</v>
      </c>
      <c r="C6" s="681">
        <f t="shared" ref="C6:C30" si="2">SUM(D6:CY6)</f>
        <v>0</v>
      </c>
      <c r="D6" s="682">
        <f>'Data Entry'!H45</f>
        <v>0</v>
      </c>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683"/>
      <c r="AP6" s="42"/>
      <c r="AQ6" s="42"/>
      <c r="AR6" s="42"/>
      <c r="AS6" s="42"/>
      <c r="AT6" s="42"/>
      <c r="AU6" s="42"/>
      <c r="AV6" s="42"/>
      <c r="AW6" s="42"/>
      <c r="AX6" s="42"/>
      <c r="AY6" s="42"/>
      <c r="AZ6" s="42"/>
      <c r="BA6" s="42"/>
      <c r="BB6" s="42"/>
      <c r="BC6" s="42"/>
      <c r="BD6" s="42"/>
      <c r="BE6" s="42"/>
      <c r="BF6" s="42"/>
      <c r="BG6" s="42"/>
      <c r="BH6" s="42"/>
      <c r="BI6" s="42"/>
      <c r="BJ6" s="42"/>
      <c r="BK6" s="683"/>
      <c r="BL6" s="42"/>
      <c r="BM6" s="42"/>
      <c r="BN6" s="42"/>
      <c r="BO6" s="42"/>
      <c r="BP6" s="42"/>
      <c r="BQ6" s="42"/>
      <c r="BR6" s="42"/>
      <c r="BS6" s="42"/>
      <c r="BT6" s="42"/>
      <c r="BU6" s="42"/>
      <c r="BV6" s="42"/>
      <c r="BW6" s="42"/>
      <c r="BX6" s="42"/>
      <c r="BY6" s="42"/>
      <c r="BZ6" s="42"/>
      <c r="CA6" s="683"/>
      <c r="CB6" s="42"/>
      <c r="CC6" s="42"/>
      <c r="CD6" s="42"/>
      <c r="CE6" s="42"/>
      <c r="CF6" s="42"/>
      <c r="CG6" s="42"/>
      <c r="CH6" s="42"/>
      <c r="CI6" s="42"/>
      <c r="CJ6" s="42"/>
      <c r="CK6" s="42"/>
      <c r="CL6" s="42"/>
      <c r="CM6" s="42"/>
      <c r="CN6" s="42"/>
      <c r="CO6" s="42"/>
      <c r="CP6" s="42"/>
      <c r="CQ6" s="42"/>
      <c r="CR6" s="42"/>
      <c r="CS6" s="42"/>
      <c r="CT6" s="42"/>
      <c r="CU6" s="42"/>
      <c r="CV6" s="42"/>
      <c r="CW6" s="42"/>
      <c r="CX6" s="42"/>
      <c r="CY6" s="684"/>
    </row>
    <row r="7" spans="1:103" ht="15" customHeight="1" x14ac:dyDescent="0.3">
      <c r="A7" s="875"/>
      <c r="B7" s="346" t="s">
        <v>527</v>
      </c>
      <c r="C7" s="685">
        <f t="shared" si="2"/>
        <v>0</v>
      </c>
      <c r="D7" s="682">
        <f>'Data Entry'!H50</f>
        <v>0</v>
      </c>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683"/>
      <c r="AP7" s="42"/>
      <c r="AQ7" s="42"/>
      <c r="AR7" s="42"/>
      <c r="AS7" s="42"/>
      <c r="AT7" s="42"/>
      <c r="AU7" s="42"/>
      <c r="AV7" s="42"/>
      <c r="AW7" s="42"/>
      <c r="AX7" s="42"/>
      <c r="AY7" s="42"/>
      <c r="AZ7" s="42"/>
      <c r="BA7" s="42"/>
      <c r="BB7" s="42"/>
      <c r="BC7" s="42"/>
      <c r="BD7" s="42"/>
      <c r="BE7" s="42"/>
      <c r="BF7" s="42"/>
      <c r="BG7" s="42"/>
      <c r="BH7" s="42"/>
      <c r="BI7" s="42"/>
      <c r="BJ7" s="42"/>
      <c r="BK7" s="683"/>
      <c r="BL7" s="42"/>
      <c r="BM7" s="42"/>
      <c r="BN7" s="42"/>
      <c r="BO7" s="42"/>
      <c r="BP7" s="42"/>
      <c r="BQ7" s="42"/>
      <c r="BR7" s="42"/>
      <c r="BS7" s="42"/>
      <c r="BT7" s="42"/>
      <c r="BU7" s="42"/>
      <c r="BV7" s="42"/>
      <c r="BW7" s="42"/>
      <c r="BX7" s="42"/>
      <c r="BY7" s="42"/>
      <c r="BZ7" s="42"/>
      <c r="CA7" s="683"/>
      <c r="CB7" s="42"/>
      <c r="CC7" s="42"/>
      <c r="CD7" s="42"/>
      <c r="CE7" s="42"/>
      <c r="CF7" s="42"/>
      <c r="CG7" s="42"/>
      <c r="CH7" s="42"/>
      <c r="CI7" s="42"/>
      <c r="CJ7" s="42"/>
      <c r="CK7" s="42"/>
      <c r="CL7" s="42"/>
      <c r="CM7" s="42"/>
      <c r="CN7" s="42"/>
      <c r="CO7" s="42"/>
      <c r="CP7" s="42"/>
      <c r="CQ7" s="42"/>
      <c r="CR7" s="42"/>
      <c r="CS7" s="42"/>
      <c r="CT7" s="42"/>
      <c r="CU7" s="42"/>
      <c r="CV7" s="42"/>
      <c r="CW7" s="42"/>
      <c r="CX7" s="42"/>
      <c r="CY7" s="684"/>
    </row>
    <row r="8" spans="1:103" ht="15" customHeight="1" x14ac:dyDescent="0.3">
      <c r="A8" s="875"/>
      <c r="B8" s="686" t="s">
        <v>528</v>
      </c>
      <c r="C8" s="685">
        <f t="shared" si="2"/>
        <v>0</v>
      </c>
      <c r="D8" s="549">
        <f>'Data Entry'!H51</f>
        <v>0</v>
      </c>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172"/>
      <c r="AJ8" s="172"/>
      <c r="AK8" s="172"/>
      <c r="AL8" s="172"/>
      <c r="AM8" s="172"/>
      <c r="AN8" s="172"/>
      <c r="AO8" s="173"/>
      <c r="AP8" s="172"/>
      <c r="AQ8" s="172"/>
      <c r="AR8" s="172"/>
      <c r="AS8" s="172"/>
      <c r="AT8" s="172"/>
      <c r="AU8" s="172"/>
      <c r="AV8" s="172"/>
      <c r="AW8" s="172"/>
      <c r="AX8" s="172"/>
      <c r="AY8" s="172"/>
      <c r="AZ8" s="172"/>
      <c r="BA8" s="172"/>
      <c r="BB8" s="172"/>
      <c r="BC8" s="172"/>
      <c r="BD8" s="172"/>
      <c r="BE8" s="172"/>
      <c r="BF8" s="172"/>
      <c r="BG8" s="172"/>
      <c r="BH8" s="172"/>
      <c r="BI8" s="172"/>
      <c r="BJ8" s="172"/>
      <c r="BK8" s="173"/>
      <c r="BL8" s="172"/>
      <c r="BM8" s="172"/>
      <c r="BN8" s="172"/>
      <c r="BO8" s="172"/>
      <c r="BP8" s="172"/>
      <c r="BQ8" s="172"/>
      <c r="BR8" s="172"/>
      <c r="BS8" s="172"/>
      <c r="BT8" s="172"/>
      <c r="BU8" s="172"/>
      <c r="BV8" s="172"/>
      <c r="BW8" s="172"/>
      <c r="BX8" s="172"/>
      <c r="BY8" s="172"/>
      <c r="BZ8" s="172"/>
      <c r="CA8" s="173"/>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569"/>
    </row>
    <row r="9" spans="1:103" ht="15" customHeight="1" x14ac:dyDescent="0.3">
      <c r="A9" s="875"/>
      <c r="B9" s="686" t="s">
        <v>529</v>
      </c>
      <c r="C9" s="685">
        <f t="shared" si="2"/>
        <v>0</v>
      </c>
      <c r="D9" s="549">
        <f>'Data Entry'!H52</f>
        <v>0</v>
      </c>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172"/>
      <c r="AK9" s="172"/>
      <c r="AL9" s="172"/>
      <c r="AM9" s="172"/>
      <c r="AN9" s="172"/>
      <c r="AO9" s="553">
        <f>IF('Data Entry'!B13&gt;35,'Data Entry'!AA59,0)</f>
        <v>0</v>
      </c>
      <c r="AP9" s="42"/>
      <c r="AQ9" s="172"/>
      <c r="AR9" s="172"/>
      <c r="AS9" s="172"/>
      <c r="AT9" s="172"/>
      <c r="AU9" s="172"/>
      <c r="AV9" s="172"/>
      <c r="AW9" s="172"/>
      <c r="AX9" s="172"/>
      <c r="AY9" s="172"/>
      <c r="AZ9" s="172"/>
      <c r="BA9" s="172"/>
      <c r="BB9" s="172"/>
      <c r="BC9" s="172"/>
      <c r="BD9" s="172"/>
      <c r="BE9" s="172"/>
      <c r="BF9" s="172"/>
      <c r="BG9" s="172"/>
      <c r="BH9" s="172"/>
      <c r="BI9" s="172"/>
      <c r="BJ9" s="172"/>
      <c r="BK9" s="553">
        <f>IF(BK3&lt;'Data Entry'!B13,'Data Entry'!AA61,0)</f>
        <v>0</v>
      </c>
      <c r="BL9" s="42"/>
      <c r="BM9" s="172"/>
      <c r="BN9" s="172"/>
      <c r="BO9" s="172"/>
      <c r="BP9" s="172"/>
      <c r="BQ9" s="172"/>
      <c r="BR9" s="172"/>
      <c r="BS9" s="172"/>
      <c r="BT9" s="172"/>
      <c r="BU9" s="172"/>
      <c r="BV9" s="172"/>
      <c r="BW9" s="172"/>
      <c r="BX9" s="172"/>
      <c r="BY9" s="172"/>
      <c r="BZ9" s="172"/>
      <c r="CA9" s="553">
        <f>IF(CA3&lt;'Data Entry'!B13-1,'Data Entry'!AA59+'Data Entry'!AA60,0)</f>
        <v>0</v>
      </c>
      <c r="CB9" s="42"/>
      <c r="CC9" s="172"/>
      <c r="CD9" s="172"/>
      <c r="CE9" s="172"/>
      <c r="CF9" s="172"/>
      <c r="CG9" s="172"/>
      <c r="CH9" s="172"/>
      <c r="CI9" s="172"/>
      <c r="CJ9" s="172"/>
      <c r="CK9" s="172"/>
      <c r="CL9" s="172"/>
      <c r="CM9" s="172"/>
      <c r="CN9" s="172"/>
      <c r="CO9" s="172"/>
      <c r="CP9" s="172"/>
      <c r="CQ9" s="172"/>
      <c r="CR9" s="172"/>
      <c r="CS9" s="172"/>
      <c r="CT9" s="172"/>
      <c r="CU9" s="172"/>
      <c r="CV9" s="172"/>
      <c r="CW9" s="172"/>
      <c r="CX9" s="172"/>
      <c r="CY9" s="569"/>
    </row>
    <row r="10" spans="1:103" ht="15" customHeight="1" x14ac:dyDescent="0.3">
      <c r="A10" s="875"/>
      <c r="B10" s="686" t="s">
        <v>530</v>
      </c>
      <c r="C10" s="685">
        <f t="shared" si="2"/>
        <v>0</v>
      </c>
      <c r="D10" s="549">
        <f>'Data Entry'!H53</f>
        <v>0</v>
      </c>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3"/>
      <c r="AP10" s="172"/>
      <c r="AQ10" s="172"/>
      <c r="AR10" s="172"/>
      <c r="AS10" s="172"/>
      <c r="AT10" s="172"/>
      <c r="AU10" s="172"/>
      <c r="AV10" s="172"/>
      <c r="AW10" s="172"/>
      <c r="AX10" s="172"/>
      <c r="AY10" s="172"/>
      <c r="AZ10" s="172"/>
      <c r="BA10" s="172"/>
      <c r="BB10" s="172"/>
      <c r="BC10" s="172"/>
      <c r="BD10" s="172"/>
      <c r="BE10" s="172"/>
      <c r="BF10" s="172"/>
      <c r="BG10" s="172"/>
      <c r="BH10" s="172"/>
      <c r="BI10" s="172"/>
      <c r="BJ10" s="172"/>
      <c r="BK10" s="173"/>
      <c r="BL10" s="42"/>
      <c r="BM10" s="172"/>
      <c r="BN10" s="172"/>
      <c r="BO10" s="172"/>
      <c r="BP10" s="172"/>
      <c r="BQ10" s="172"/>
      <c r="BR10" s="172"/>
      <c r="BS10" s="172"/>
      <c r="BT10" s="172"/>
      <c r="BU10" s="172"/>
      <c r="BV10" s="172"/>
      <c r="BW10" s="172"/>
      <c r="BX10" s="172"/>
      <c r="BY10" s="172"/>
      <c r="BZ10" s="172"/>
      <c r="CA10" s="173"/>
      <c r="CB10" s="42"/>
      <c r="CC10" s="172"/>
      <c r="CD10" s="172"/>
      <c r="CE10" s="172"/>
      <c r="CF10" s="172"/>
      <c r="CG10" s="172"/>
      <c r="CH10" s="172"/>
      <c r="CI10" s="172"/>
      <c r="CJ10" s="172"/>
      <c r="CK10" s="172"/>
      <c r="CL10" s="172"/>
      <c r="CM10" s="172"/>
      <c r="CN10" s="172"/>
      <c r="CO10" s="172"/>
      <c r="CP10" s="172"/>
      <c r="CQ10" s="172"/>
      <c r="CR10" s="172"/>
      <c r="CS10" s="172"/>
      <c r="CT10" s="172"/>
      <c r="CU10" s="172"/>
      <c r="CV10" s="172"/>
      <c r="CW10" s="172"/>
      <c r="CX10" s="172"/>
      <c r="CY10" s="569"/>
    </row>
    <row r="11" spans="1:103" ht="15" customHeight="1" x14ac:dyDescent="0.3">
      <c r="A11" s="875"/>
      <c r="B11" s="680" t="s">
        <v>531</v>
      </c>
      <c r="C11" s="685">
        <f t="shared" si="2"/>
        <v>0</v>
      </c>
      <c r="D11" s="549">
        <f>'Data Entry'!H55</f>
        <v>0</v>
      </c>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549">
        <f>IF(AL3&lt;'Data Entry'!B13,'Data Entry'!I55,0)</f>
        <v>0</v>
      </c>
      <c r="AM11" s="42"/>
      <c r="AN11" s="172"/>
      <c r="AO11" s="173"/>
      <c r="AP11" s="172"/>
      <c r="AQ11" s="172"/>
      <c r="AR11" s="172"/>
      <c r="AS11" s="172"/>
      <c r="AT11" s="172"/>
      <c r="AU11" s="172"/>
      <c r="AV11" s="172"/>
      <c r="AW11" s="172"/>
      <c r="AX11" s="172"/>
      <c r="AY11" s="172"/>
      <c r="AZ11" s="172"/>
      <c r="BA11" s="172"/>
      <c r="BB11" s="172"/>
      <c r="BC11" s="172"/>
      <c r="BD11" s="172"/>
      <c r="BE11" s="172"/>
      <c r="BF11" s="172"/>
      <c r="BG11" s="172"/>
      <c r="BH11" s="172"/>
      <c r="BI11" s="172"/>
      <c r="BJ11" s="172"/>
      <c r="BK11" s="173"/>
      <c r="BL11" s="42"/>
      <c r="BM11" s="172"/>
      <c r="BN11" s="172"/>
      <c r="BO11" s="172"/>
      <c r="BP11" s="172"/>
      <c r="BQ11" s="172"/>
      <c r="BR11" s="172"/>
      <c r="BS11" s="172"/>
      <c r="BT11" s="172"/>
      <c r="BU11" s="549">
        <f>IF(BU3&lt;'Data Entry'!B13-1,'Data Entry'!I55,0)</f>
        <v>0</v>
      </c>
      <c r="BV11" s="42"/>
      <c r="BW11" s="172"/>
      <c r="BX11" s="172"/>
      <c r="BY11" s="172"/>
      <c r="BZ11" s="172"/>
      <c r="CA11" s="173"/>
      <c r="CB11" s="42"/>
      <c r="CC11" s="172"/>
      <c r="CD11" s="172"/>
      <c r="CE11" s="172"/>
      <c r="CF11" s="172"/>
      <c r="CG11" s="172"/>
      <c r="CH11" s="172"/>
      <c r="CI11" s="172"/>
      <c r="CJ11" s="172"/>
      <c r="CK11" s="172"/>
      <c r="CL11" s="172"/>
      <c r="CM11" s="172"/>
      <c r="CN11" s="172"/>
      <c r="CO11" s="172"/>
      <c r="CP11" s="172"/>
      <c r="CQ11" s="172"/>
      <c r="CR11" s="172"/>
      <c r="CS11" s="172"/>
      <c r="CT11" s="172"/>
      <c r="CU11" s="172"/>
      <c r="CV11" s="172"/>
      <c r="CW11" s="172"/>
      <c r="CX11" s="172"/>
      <c r="CY11" s="569"/>
    </row>
    <row r="12" spans="1:103" ht="15" customHeight="1" x14ac:dyDescent="0.3">
      <c r="A12" s="875"/>
      <c r="B12" s="686" t="s">
        <v>308</v>
      </c>
      <c r="C12" s="685">
        <f t="shared" si="2"/>
        <v>0</v>
      </c>
      <c r="D12" s="549">
        <f>'Data Entry'!H26</f>
        <v>0</v>
      </c>
      <c r="E12" s="172"/>
      <c r="F12" s="172"/>
      <c r="G12" s="172"/>
      <c r="H12" s="172"/>
      <c r="I12" s="172"/>
      <c r="J12" s="172"/>
      <c r="K12" s="172"/>
      <c r="L12" s="172"/>
      <c r="M12" s="172"/>
      <c r="N12" s="172"/>
      <c r="O12" s="172"/>
      <c r="P12" s="172"/>
      <c r="Q12" s="172"/>
      <c r="R12" s="172"/>
      <c r="S12" s="172"/>
      <c r="T12" s="172"/>
      <c r="U12" s="172"/>
      <c r="V12" s="172"/>
      <c r="W12" s="549">
        <f>'Data Entry'!$I26</f>
        <v>0</v>
      </c>
      <c r="X12" s="42"/>
      <c r="Y12" s="172"/>
      <c r="Z12" s="172"/>
      <c r="AA12" s="172"/>
      <c r="AB12" s="172"/>
      <c r="AC12" s="172"/>
      <c r="AD12" s="172"/>
      <c r="AE12" s="172"/>
      <c r="AF12" s="172"/>
      <c r="AG12" s="172"/>
      <c r="AH12" s="172"/>
      <c r="AI12" s="172"/>
      <c r="AJ12" s="172"/>
      <c r="AK12" s="172"/>
      <c r="AL12" s="172"/>
      <c r="AM12" s="172"/>
      <c r="AN12" s="172"/>
      <c r="AO12" s="173"/>
      <c r="AP12" s="172"/>
      <c r="AQ12" s="549">
        <f>IF(AQ$3&lt;'Data Entry'!$B$13,'Data Entry'!$I26,0)</f>
        <v>0</v>
      </c>
      <c r="AR12" s="42"/>
      <c r="AS12" s="172"/>
      <c r="AT12" s="172"/>
      <c r="AU12" s="172"/>
      <c r="AV12" s="172"/>
      <c r="AW12" s="172"/>
      <c r="AX12" s="172"/>
      <c r="AY12" s="172"/>
      <c r="AZ12" s="172"/>
      <c r="BA12" s="172"/>
      <c r="BB12" s="172"/>
      <c r="BC12" s="172"/>
      <c r="BD12" s="172"/>
      <c r="BE12" s="172"/>
      <c r="BF12" s="172"/>
      <c r="BG12" s="172"/>
      <c r="BH12" s="172"/>
      <c r="BI12" s="172"/>
      <c r="BJ12" s="172"/>
      <c r="BK12" s="553">
        <f>IF(BK$3&lt;'Data Entry'!$B$13,'Data Entry'!$I26,0)</f>
        <v>0</v>
      </c>
      <c r="BL12" s="42"/>
      <c r="BM12" s="172"/>
      <c r="BN12" s="172"/>
      <c r="BO12" s="172"/>
      <c r="BP12" s="172"/>
      <c r="BQ12" s="172"/>
      <c r="BR12" s="172"/>
      <c r="BS12" s="172"/>
      <c r="BT12" s="172"/>
      <c r="BU12" s="172"/>
      <c r="BV12" s="172"/>
      <c r="BW12" s="172"/>
      <c r="BX12" s="172"/>
      <c r="BY12" s="172"/>
      <c r="BZ12" s="172"/>
      <c r="CA12" s="173"/>
      <c r="CB12" s="42"/>
      <c r="CC12" s="172"/>
      <c r="CD12" s="172"/>
      <c r="CE12" s="549">
        <f>IF(CE$3&lt;'Data Entry'!$B$13,'Data Entry'!$I26,0)</f>
        <v>0</v>
      </c>
      <c r="CF12" s="42"/>
      <c r="CG12" s="172"/>
      <c r="CH12" s="172"/>
      <c r="CI12" s="172"/>
      <c r="CJ12" s="172"/>
      <c r="CK12" s="172"/>
      <c r="CL12" s="172"/>
      <c r="CM12" s="172"/>
      <c r="CN12" s="172"/>
      <c r="CO12" s="172"/>
      <c r="CP12" s="172"/>
      <c r="CQ12" s="172"/>
      <c r="CR12" s="172"/>
      <c r="CS12" s="172"/>
      <c r="CT12" s="172"/>
      <c r="CU12" s="172"/>
      <c r="CV12" s="172"/>
      <c r="CW12" s="172"/>
      <c r="CX12" s="172"/>
      <c r="CY12" s="569"/>
    </row>
    <row r="13" spans="1:103" ht="15" customHeight="1" x14ac:dyDescent="0.3">
      <c r="A13" s="875"/>
      <c r="B13" s="686" t="s">
        <v>309</v>
      </c>
      <c r="C13" s="685">
        <f t="shared" si="2"/>
        <v>0</v>
      </c>
      <c r="D13" s="549">
        <f>'Data Entry'!H27</f>
        <v>0</v>
      </c>
      <c r="E13" s="172"/>
      <c r="F13" s="172"/>
      <c r="G13" s="172"/>
      <c r="H13" s="172"/>
      <c r="I13" s="172"/>
      <c r="J13" s="172"/>
      <c r="K13" s="172"/>
      <c r="L13" s="172"/>
      <c r="M13" s="172"/>
      <c r="N13" s="172"/>
      <c r="O13" s="172"/>
      <c r="P13" s="172"/>
      <c r="Q13" s="172"/>
      <c r="R13" s="172"/>
      <c r="S13" s="172"/>
      <c r="T13" s="172"/>
      <c r="U13" s="172"/>
      <c r="V13" s="172"/>
      <c r="W13" s="549">
        <f>'Data Entry'!$I27</f>
        <v>0</v>
      </c>
      <c r="X13" s="42"/>
      <c r="Y13" s="172"/>
      <c r="Z13" s="172"/>
      <c r="AA13" s="172"/>
      <c r="AB13" s="172"/>
      <c r="AC13" s="172"/>
      <c r="AD13" s="172"/>
      <c r="AE13" s="172"/>
      <c r="AF13" s="172"/>
      <c r="AG13" s="172"/>
      <c r="AH13" s="172"/>
      <c r="AI13" s="172"/>
      <c r="AJ13" s="172"/>
      <c r="AK13" s="172"/>
      <c r="AL13" s="172"/>
      <c r="AM13" s="172"/>
      <c r="AN13" s="172"/>
      <c r="AO13" s="173"/>
      <c r="AP13" s="172"/>
      <c r="AQ13" s="549">
        <f>IF(AQ$3&lt;'Data Entry'!$B$13,'Data Entry'!$I27,0)</f>
        <v>0</v>
      </c>
      <c r="AR13" s="42"/>
      <c r="AS13" s="172"/>
      <c r="AT13" s="172"/>
      <c r="AU13" s="172"/>
      <c r="AV13" s="172"/>
      <c r="AW13" s="172"/>
      <c r="AX13" s="172"/>
      <c r="AY13" s="172"/>
      <c r="AZ13" s="172"/>
      <c r="BA13" s="172"/>
      <c r="BB13" s="172"/>
      <c r="BC13" s="172"/>
      <c r="BD13" s="172"/>
      <c r="BE13" s="172"/>
      <c r="BF13" s="172"/>
      <c r="BG13" s="172"/>
      <c r="BH13" s="172"/>
      <c r="BI13" s="172"/>
      <c r="BJ13" s="172"/>
      <c r="BK13" s="553">
        <f>IF(BK$3&lt;'Data Entry'!$B$13,'Data Entry'!$I27,0)</f>
        <v>0</v>
      </c>
      <c r="BL13" s="42"/>
      <c r="BM13" s="172"/>
      <c r="BN13" s="172"/>
      <c r="BO13" s="172"/>
      <c r="BP13" s="172"/>
      <c r="BQ13" s="172"/>
      <c r="BR13" s="172"/>
      <c r="BS13" s="172"/>
      <c r="BT13" s="172"/>
      <c r="BU13" s="172"/>
      <c r="BV13" s="172"/>
      <c r="BW13" s="172"/>
      <c r="BX13" s="172"/>
      <c r="BY13" s="172"/>
      <c r="BZ13" s="172"/>
      <c r="CA13" s="173"/>
      <c r="CB13" s="42"/>
      <c r="CC13" s="172"/>
      <c r="CD13" s="172"/>
      <c r="CE13" s="549">
        <f>IF(CE$3&lt;'Data Entry'!$B$13,'Data Entry'!$I27,0)</f>
        <v>0</v>
      </c>
      <c r="CF13" s="42"/>
      <c r="CG13" s="172"/>
      <c r="CH13" s="172"/>
      <c r="CI13" s="172"/>
      <c r="CJ13" s="172"/>
      <c r="CK13" s="172"/>
      <c r="CL13" s="172"/>
      <c r="CM13" s="172"/>
      <c r="CN13" s="172"/>
      <c r="CO13" s="172"/>
      <c r="CP13" s="172"/>
      <c r="CQ13" s="172"/>
      <c r="CR13" s="172"/>
      <c r="CS13" s="172"/>
      <c r="CT13" s="172"/>
      <c r="CU13" s="172"/>
      <c r="CV13" s="172"/>
      <c r="CW13" s="172"/>
      <c r="CX13" s="172"/>
      <c r="CY13" s="569"/>
    </row>
    <row r="14" spans="1:103" ht="15" customHeight="1" x14ac:dyDescent="0.3">
      <c r="A14" s="875"/>
      <c r="B14" s="687" t="s">
        <v>231</v>
      </c>
      <c r="C14" s="685">
        <f t="shared" si="2"/>
        <v>0</v>
      </c>
      <c r="D14" s="549">
        <f>'Data Entry'!H28</f>
        <v>0</v>
      </c>
      <c r="E14" s="172"/>
      <c r="F14" s="172"/>
      <c r="G14" s="172"/>
      <c r="H14" s="172"/>
      <c r="I14" s="172"/>
      <c r="J14" s="172"/>
      <c r="K14" s="172"/>
      <c r="L14" s="172"/>
      <c r="M14" s="172"/>
      <c r="N14" s="172"/>
      <c r="O14" s="172"/>
      <c r="P14" s="172"/>
      <c r="Q14" s="172"/>
      <c r="R14" s="172"/>
      <c r="S14" s="172"/>
      <c r="T14" s="172"/>
      <c r="U14" s="172"/>
      <c r="V14" s="172"/>
      <c r="W14" s="172"/>
      <c r="X14" s="42"/>
      <c r="Y14" s="172"/>
      <c r="Z14" s="172"/>
      <c r="AA14" s="172"/>
      <c r="AB14" s="172"/>
      <c r="AC14" s="172"/>
      <c r="AD14" s="172"/>
      <c r="AE14" s="172"/>
      <c r="AF14" s="172"/>
      <c r="AG14" s="172"/>
      <c r="AH14" s="172"/>
      <c r="AI14" s="172"/>
      <c r="AJ14" s="172"/>
      <c r="AK14" s="172"/>
      <c r="AL14" s="172"/>
      <c r="AM14" s="172"/>
      <c r="AN14" s="172"/>
      <c r="AO14" s="173"/>
      <c r="AP14" s="172"/>
      <c r="AQ14" s="549">
        <f>IF(AQ$3&lt;'Data Entry'!$B$13,'Data Entry'!$I28,0)</f>
        <v>0</v>
      </c>
      <c r="AR14" s="42"/>
      <c r="AS14" s="172"/>
      <c r="AT14" s="172"/>
      <c r="AU14" s="172"/>
      <c r="AV14" s="172"/>
      <c r="AW14" s="172"/>
      <c r="AX14" s="172"/>
      <c r="AY14" s="172"/>
      <c r="AZ14" s="172"/>
      <c r="BA14" s="172"/>
      <c r="BB14" s="172"/>
      <c r="BC14" s="172"/>
      <c r="BD14" s="172"/>
      <c r="BE14" s="172"/>
      <c r="BF14" s="172"/>
      <c r="BG14" s="172"/>
      <c r="BH14" s="172"/>
      <c r="BI14" s="172"/>
      <c r="BJ14" s="172"/>
      <c r="BK14" s="553">
        <f>IF(BK$3&lt;'Data Entry'!$B$13,'Data Entry'!$I28,0)</f>
        <v>0</v>
      </c>
      <c r="BL14" s="42"/>
      <c r="BM14" s="172"/>
      <c r="BN14" s="172"/>
      <c r="BO14" s="172"/>
      <c r="BP14" s="172"/>
      <c r="BQ14" s="172"/>
      <c r="BR14" s="172"/>
      <c r="BS14" s="172"/>
      <c r="BT14" s="172"/>
      <c r="BU14" s="172"/>
      <c r="BV14" s="172"/>
      <c r="BW14" s="172"/>
      <c r="BX14" s="172"/>
      <c r="BY14" s="172"/>
      <c r="BZ14" s="172"/>
      <c r="CA14" s="173"/>
      <c r="CB14" s="42"/>
      <c r="CC14" s="172"/>
      <c r="CD14" s="172"/>
      <c r="CE14" s="549">
        <f>IF(CE$3&lt;'Data Entry'!$B$13,'Data Entry'!$I28,0)</f>
        <v>0</v>
      </c>
      <c r="CF14" s="42"/>
      <c r="CG14" s="172"/>
      <c r="CH14" s="172"/>
      <c r="CI14" s="172"/>
      <c r="CJ14" s="172"/>
      <c r="CK14" s="172"/>
      <c r="CL14" s="172"/>
      <c r="CM14" s="172"/>
      <c r="CN14" s="172"/>
      <c r="CO14" s="172"/>
      <c r="CP14" s="172"/>
      <c r="CQ14" s="172"/>
      <c r="CR14" s="172"/>
      <c r="CS14" s="172"/>
      <c r="CT14" s="172"/>
      <c r="CU14" s="172"/>
      <c r="CV14" s="172"/>
      <c r="CW14" s="172"/>
      <c r="CX14" s="172"/>
      <c r="CY14" s="569"/>
    </row>
    <row r="15" spans="1:103" ht="15" customHeight="1" x14ac:dyDescent="0.3">
      <c r="A15" s="875"/>
      <c r="B15" s="686" t="s">
        <v>90</v>
      </c>
      <c r="C15" s="685">
        <f t="shared" si="2"/>
        <v>0</v>
      </c>
      <c r="D15" s="549">
        <f>'Data Entry'!H29</f>
        <v>0</v>
      </c>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72"/>
      <c r="AO15" s="173"/>
      <c r="AP15" s="172"/>
      <c r="AQ15" s="172"/>
      <c r="AR15" s="172"/>
      <c r="AS15" s="172"/>
      <c r="AT15" s="172"/>
      <c r="AU15" s="172"/>
      <c r="AV15" s="172"/>
      <c r="AW15" s="172"/>
      <c r="AX15" s="172"/>
      <c r="AY15" s="172"/>
      <c r="AZ15" s="172"/>
      <c r="BA15" s="172"/>
      <c r="BB15" s="172"/>
      <c r="BC15" s="172"/>
      <c r="BD15" s="172"/>
      <c r="BE15" s="172"/>
      <c r="BF15" s="172"/>
      <c r="BG15" s="172"/>
      <c r="BH15" s="172"/>
      <c r="BI15" s="172"/>
      <c r="BJ15" s="172"/>
      <c r="BK15" s="174"/>
      <c r="BL15" s="42"/>
      <c r="BM15" s="172"/>
      <c r="BN15" s="172"/>
      <c r="BO15" s="172"/>
      <c r="BP15" s="172"/>
      <c r="BQ15" s="172"/>
      <c r="BR15" s="172"/>
      <c r="BS15" s="172"/>
      <c r="BT15" s="172"/>
      <c r="BU15" s="172"/>
      <c r="BV15" s="172"/>
      <c r="BW15" s="172"/>
      <c r="BX15" s="172"/>
      <c r="BY15" s="172"/>
      <c r="BZ15" s="172"/>
      <c r="CA15" s="173"/>
      <c r="CB15" s="42"/>
      <c r="CC15" s="172"/>
      <c r="CD15" s="172"/>
      <c r="CE15" s="175"/>
      <c r="CF15" s="42"/>
      <c r="CG15" s="172"/>
      <c r="CH15" s="172"/>
      <c r="CI15" s="172"/>
      <c r="CJ15" s="172"/>
      <c r="CK15" s="172"/>
      <c r="CL15" s="172"/>
      <c r="CM15" s="172"/>
      <c r="CN15" s="172"/>
      <c r="CO15" s="172"/>
      <c r="CP15" s="172"/>
      <c r="CQ15" s="172"/>
      <c r="CR15" s="172"/>
      <c r="CS15" s="172"/>
      <c r="CT15" s="172"/>
      <c r="CU15" s="172"/>
      <c r="CV15" s="172"/>
      <c r="CW15" s="172"/>
      <c r="CX15" s="172"/>
      <c r="CY15" s="569"/>
    </row>
    <row r="16" spans="1:103" ht="15" customHeight="1" x14ac:dyDescent="0.3">
      <c r="A16" s="875"/>
      <c r="B16" s="680" t="s">
        <v>465</v>
      </c>
      <c r="C16" s="685">
        <f t="shared" si="2"/>
        <v>0</v>
      </c>
      <c r="D16" s="549">
        <f>'Data Entry'!H31</f>
        <v>0</v>
      </c>
      <c r="E16" s="172"/>
      <c r="F16" s="172"/>
      <c r="G16" s="172"/>
      <c r="H16" s="172"/>
      <c r="I16" s="172"/>
      <c r="J16" s="172"/>
      <c r="K16" s="172"/>
      <c r="L16" s="172"/>
      <c r="M16" s="172"/>
      <c r="N16" s="172"/>
      <c r="O16" s="172"/>
      <c r="P16" s="172"/>
      <c r="Q16" s="172"/>
      <c r="R16" s="172"/>
      <c r="S16" s="172"/>
      <c r="T16" s="172"/>
      <c r="U16" s="172"/>
      <c r="V16" s="172"/>
      <c r="W16" s="549">
        <f>'Data Entry'!$I31</f>
        <v>0</v>
      </c>
      <c r="X16" s="42"/>
      <c r="Y16" s="172"/>
      <c r="Z16" s="172"/>
      <c r="AA16" s="172"/>
      <c r="AB16" s="172"/>
      <c r="AC16" s="172"/>
      <c r="AD16" s="172"/>
      <c r="AE16" s="172"/>
      <c r="AF16" s="172"/>
      <c r="AG16" s="172"/>
      <c r="AH16" s="172"/>
      <c r="AI16" s="172"/>
      <c r="AJ16" s="172"/>
      <c r="AK16" s="172"/>
      <c r="AL16" s="172"/>
      <c r="AM16" s="172"/>
      <c r="AN16" s="172"/>
      <c r="AO16" s="173"/>
      <c r="AP16" s="172"/>
      <c r="AQ16" s="549">
        <f>IF(AQ$3&lt;'Data Entry'!$B$13,'Data Entry'!$I31,0)</f>
        <v>0</v>
      </c>
      <c r="AR16" s="42"/>
      <c r="AS16" s="172"/>
      <c r="AT16" s="172"/>
      <c r="AU16" s="172"/>
      <c r="AV16" s="172"/>
      <c r="AW16" s="172"/>
      <c r="AX16" s="172"/>
      <c r="AY16" s="172"/>
      <c r="AZ16" s="172"/>
      <c r="BA16" s="172"/>
      <c r="BB16" s="172"/>
      <c r="BC16" s="172"/>
      <c r="BD16" s="172"/>
      <c r="BE16" s="172"/>
      <c r="BF16" s="172"/>
      <c r="BG16" s="172"/>
      <c r="BH16" s="172"/>
      <c r="BI16" s="172"/>
      <c r="BJ16" s="172"/>
      <c r="BK16" s="553">
        <f>IF(BK$3&lt;'Data Entry'!$B$13,'Data Entry'!$I31,0)</f>
        <v>0</v>
      </c>
      <c r="BL16" s="42"/>
      <c r="BM16" s="172"/>
      <c r="BN16" s="172"/>
      <c r="BO16" s="172"/>
      <c r="BP16" s="172"/>
      <c r="BQ16" s="172"/>
      <c r="BR16" s="172"/>
      <c r="BS16" s="172"/>
      <c r="BT16" s="172"/>
      <c r="BU16" s="172"/>
      <c r="BV16" s="172"/>
      <c r="BW16" s="172"/>
      <c r="BX16" s="172"/>
      <c r="BY16" s="172"/>
      <c r="BZ16" s="172"/>
      <c r="CA16" s="173"/>
      <c r="CB16" s="42"/>
      <c r="CC16" s="172"/>
      <c r="CD16" s="172"/>
      <c r="CE16" s="549">
        <f>IF(CE$3&lt;'Data Entry'!$B$13,'Data Entry'!$I31,0)</f>
        <v>0</v>
      </c>
      <c r="CF16" s="42"/>
      <c r="CG16" s="172"/>
      <c r="CH16" s="172"/>
      <c r="CI16" s="172"/>
      <c r="CJ16" s="172"/>
      <c r="CK16" s="172"/>
      <c r="CL16" s="172"/>
      <c r="CM16" s="172"/>
      <c r="CN16" s="172"/>
      <c r="CO16" s="172"/>
      <c r="CP16" s="172"/>
      <c r="CQ16" s="172"/>
      <c r="CR16" s="172"/>
      <c r="CS16" s="172"/>
      <c r="CT16" s="172"/>
      <c r="CU16" s="172"/>
      <c r="CV16" s="172"/>
      <c r="CW16" s="172"/>
      <c r="CX16" s="172"/>
      <c r="CY16" s="569"/>
    </row>
    <row r="17" spans="1:103" ht="15" customHeight="1" x14ac:dyDescent="0.3">
      <c r="A17" s="875"/>
      <c r="B17" s="680" t="s">
        <v>532</v>
      </c>
      <c r="C17" s="685">
        <f t="shared" si="2"/>
        <v>0</v>
      </c>
      <c r="D17" s="172"/>
      <c r="E17" s="172"/>
      <c r="F17" s="172"/>
      <c r="G17" s="172"/>
      <c r="H17" s="172"/>
      <c r="I17" s="172"/>
      <c r="J17" s="172"/>
      <c r="K17" s="172"/>
      <c r="L17" s="172"/>
      <c r="M17" s="172"/>
      <c r="N17" s="172"/>
      <c r="O17" s="172"/>
      <c r="P17" s="172"/>
      <c r="Q17" s="172"/>
      <c r="R17" s="549">
        <f>'Data Entry'!H32</f>
        <v>0</v>
      </c>
      <c r="S17" s="42"/>
      <c r="T17" s="172"/>
      <c r="U17" s="172"/>
      <c r="V17" s="172"/>
      <c r="W17" s="172"/>
      <c r="X17" s="42"/>
      <c r="Y17" s="172"/>
      <c r="Z17" s="172"/>
      <c r="AA17" s="172"/>
      <c r="AB17" s="172"/>
      <c r="AC17" s="172"/>
      <c r="AD17" s="172"/>
      <c r="AE17" s="172"/>
      <c r="AF17" s="172"/>
      <c r="AG17" s="172"/>
      <c r="AH17" s="172"/>
      <c r="AI17" s="172"/>
      <c r="AJ17" s="172"/>
      <c r="AK17" s="172"/>
      <c r="AL17" s="172"/>
      <c r="AM17" s="172"/>
      <c r="AN17" s="172"/>
      <c r="AO17" s="173"/>
      <c r="AP17" s="172"/>
      <c r="AQ17" s="549">
        <f>IF(AQ$3&lt;'Data Entry'!$B$13,'Data Entry'!$I32,0)</f>
        <v>0</v>
      </c>
      <c r="AR17" s="42"/>
      <c r="AS17" s="172"/>
      <c r="AT17" s="172"/>
      <c r="AU17" s="172"/>
      <c r="AV17" s="172"/>
      <c r="AW17" s="172"/>
      <c r="AX17" s="172"/>
      <c r="AY17" s="172"/>
      <c r="AZ17" s="172"/>
      <c r="BA17" s="172"/>
      <c r="BB17" s="172"/>
      <c r="BC17" s="172"/>
      <c r="BD17" s="172"/>
      <c r="BE17" s="172"/>
      <c r="BF17" s="172"/>
      <c r="BG17" s="172"/>
      <c r="BH17" s="172"/>
      <c r="BI17" s="172"/>
      <c r="BJ17" s="172"/>
      <c r="BK17" s="553">
        <f>IF(BK$3&lt;'Data Entry'!$B$13,'Data Entry'!$I32,0)</f>
        <v>0</v>
      </c>
      <c r="BL17" s="42"/>
      <c r="BM17" s="172"/>
      <c r="BN17" s="172"/>
      <c r="BO17" s="172"/>
      <c r="BP17" s="172"/>
      <c r="BQ17" s="172"/>
      <c r="BR17" s="172"/>
      <c r="BS17" s="172"/>
      <c r="BT17" s="172"/>
      <c r="BU17" s="172"/>
      <c r="BV17" s="172"/>
      <c r="BW17" s="172"/>
      <c r="BX17" s="172"/>
      <c r="BY17" s="172"/>
      <c r="BZ17" s="172"/>
      <c r="CA17" s="173"/>
      <c r="CB17" s="42"/>
      <c r="CC17" s="172"/>
      <c r="CD17" s="172"/>
      <c r="CE17" s="549">
        <f>IF(CE$3&lt;'Data Entry'!$B$13,'Data Entry'!$I32,0)</f>
        <v>0</v>
      </c>
      <c r="CF17" s="42"/>
      <c r="CG17" s="172"/>
      <c r="CH17" s="172"/>
      <c r="CI17" s="172"/>
      <c r="CJ17" s="172"/>
      <c r="CK17" s="172"/>
      <c r="CL17" s="172"/>
      <c r="CM17" s="172"/>
      <c r="CN17" s="172"/>
      <c r="CO17" s="172"/>
      <c r="CP17" s="172"/>
      <c r="CQ17" s="172"/>
      <c r="CR17" s="172"/>
      <c r="CS17" s="172"/>
      <c r="CT17" s="172"/>
      <c r="CU17" s="172"/>
      <c r="CV17" s="172"/>
      <c r="CW17" s="172"/>
      <c r="CX17" s="172"/>
      <c r="CY17" s="569"/>
    </row>
    <row r="18" spans="1:103" ht="15" customHeight="1" x14ac:dyDescent="0.3">
      <c r="A18" s="875"/>
      <c r="B18" s="687" t="s">
        <v>202</v>
      </c>
      <c r="C18" s="685">
        <f t="shared" si="2"/>
        <v>0</v>
      </c>
      <c r="D18" s="549">
        <f>SUM('Data Entry'!H34:H35)</f>
        <v>0</v>
      </c>
      <c r="E18" s="172"/>
      <c r="F18" s="172"/>
      <c r="G18" s="172"/>
      <c r="H18" s="172"/>
      <c r="I18" s="172"/>
      <c r="J18" s="172"/>
      <c r="K18" s="172"/>
      <c r="L18" s="172"/>
      <c r="M18" s="172"/>
      <c r="N18" s="172"/>
      <c r="O18" s="172"/>
      <c r="P18" s="172"/>
      <c r="Q18" s="172"/>
      <c r="R18" s="172"/>
      <c r="S18" s="172"/>
      <c r="T18" s="172"/>
      <c r="U18" s="172"/>
      <c r="V18" s="172"/>
      <c r="W18" s="549">
        <f>'Data Entry'!$B$34*'Cost Data'!$C$44+'Data Entry'!$B$35*'Cost Data'!$C$45</f>
        <v>0</v>
      </c>
      <c r="X18" s="172"/>
      <c r="Y18" s="172"/>
      <c r="Z18" s="172"/>
      <c r="AA18" s="172"/>
      <c r="AB18" s="172"/>
      <c r="AC18" s="172"/>
      <c r="AD18" s="172"/>
      <c r="AE18" s="172"/>
      <c r="AF18" s="172"/>
      <c r="AG18" s="172"/>
      <c r="AH18" s="172"/>
      <c r="AI18" s="172"/>
      <c r="AJ18" s="172"/>
      <c r="AK18" s="172"/>
      <c r="AL18" s="172"/>
      <c r="AM18" s="172"/>
      <c r="AN18" s="172"/>
      <c r="AO18" s="173"/>
      <c r="AP18" s="172"/>
      <c r="AQ18" s="549">
        <f>IF(AQ$3&lt;'Data Entry'!$B$13,'Data Entry'!I34+'Data Entry'!I35,0)</f>
        <v>0</v>
      </c>
      <c r="AR18" s="172"/>
      <c r="AS18" s="172"/>
      <c r="AT18" s="172"/>
      <c r="AU18" s="172"/>
      <c r="AV18" s="172"/>
      <c r="AW18" s="172"/>
      <c r="AX18" s="172"/>
      <c r="AY18" s="172"/>
      <c r="AZ18" s="172"/>
      <c r="BA18" s="172"/>
      <c r="BB18" s="172"/>
      <c r="BC18" s="172"/>
      <c r="BD18" s="172"/>
      <c r="BE18" s="172"/>
      <c r="BF18" s="172"/>
      <c r="BG18" s="172"/>
      <c r="BH18" s="172"/>
      <c r="BI18" s="172"/>
      <c r="BJ18" s="172"/>
      <c r="BK18" s="553">
        <f>IF(BK$3&lt;'Data Entry'!$B$13,'Data Entry'!I34+'Data Entry'!I35,0)</f>
        <v>0</v>
      </c>
      <c r="BL18" s="42"/>
      <c r="BM18" s="172"/>
      <c r="BN18" s="172"/>
      <c r="BO18" s="172"/>
      <c r="BP18" s="172"/>
      <c r="BQ18" s="172"/>
      <c r="BR18" s="172"/>
      <c r="BS18" s="172"/>
      <c r="BT18" s="172"/>
      <c r="BU18" s="172"/>
      <c r="BV18" s="172"/>
      <c r="BW18" s="172"/>
      <c r="BX18" s="172"/>
      <c r="BY18" s="172"/>
      <c r="BZ18" s="172"/>
      <c r="CA18" s="173"/>
      <c r="CB18" s="42"/>
      <c r="CC18" s="172"/>
      <c r="CD18" s="172"/>
      <c r="CE18" s="549">
        <f>IF(CE$3&lt;'Data Entry'!$B$13,'Data Entry'!I34+'Data Entry'!I35,0)</f>
        <v>0</v>
      </c>
      <c r="CF18" s="172"/>
      <c r="CG18" s="172"/>
      <c r="CH18" s="172"/>
      <c r="CI18" s="172"/>
      <c r="CJ18" s="172"/>
      <c r="CK18" s="172"/>
      <c r="CL18" s="172"/>
      <c r="CM18" s="172"/>
      <c r="CN18" s="172"/>
      <c r="CO18" s="172"/>
      <c r="CP18" s="172"/>
      <c r="CQ18" s="172"/>
      <c r="CR18" s="172"/>
      <c r="CS18" s="172"/>
      <c r="CT18" s="172"/>
      <c r="CU18" s="172"/>
      <c r="CV18" s="172"/>
      <c r="CW18" s="172"/>
      <c r="CX18" s="172"/>
      <c r="CY18" s="569"/>
    </row>
    <row r="19" spans="1:103" ht="15" customHeight="1" x14ac:dyDescent="0.3">
      <c r="A19" s="875"/>
      <c r="B19" s="680" t="s">
        <v>533</v>
      </c>
      <c r="C19" s="685">
        <f t="shared" si="2"/>
        <v>0</v>
      </c>
      <c r="D19" s="549">
        <f>'Data Entry'!N64</f>
        <v>0</v>
      </c>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553">
        <f>IF('Data Entry'!B13&gt;35,'Data Entry'!N59,0)</f>
        <v>0</v>
      </c>
      <c r="AP19" s="42"/>
      <c r="AQ19" s="172"/>
      <c r="AR19" s="172"/>
      <c r="AS19" s="172"/>
      <c r="AT19" s="172"/>
      <c r="AU19" s="172"/>
      <c r="AV19" s="172"/>
      <c r="AW19" s="172"/>
      <c r="AX19" s="172"/>
      <c r="AY19" s="172"/>
      <c r="AZ19" s="172"/>
      <c r="BA19" s="172"/>
      <c r="BB19" s="172"/>
      <c r="BC19" s="172"/>
      <c r="BD19" s="172"/>
      <c r="BE19" s="172"/>
      <c r="BF19" s="172"/>
      <c r="BG19" s="172"/>
      <c r="BH19" s="172"/>
      <c r="BI19" s="172"/>
      <c r="BJ19" s="172"/>
      <c r="BK19" s="553">
        <f>IF(BK$3&lt;'Data Entry'!$B$13,'Data Entry'!N61,0)</f>
        <v>0</v>
      </c>
      <c r="BL19" s="42"/>
      <c r="BM19" s="172"/>
      <c r="BN19" s="172"/>
      <c r="BO19" s="172"/>
      <c r="BP19" s="172"/>
      <c r="BQ19" s="172"/>
      <c r="BR19" s="172"/>
      <c r="BS19" s="172"/>
      <c r="BT19" s="172"/>
      <c r="BU19" s="172"/>
      <c r="BV19" s="172"/>
      <c r="BW19" s="172"/>
      <c r="BX19" s="172"/>
      <c r="BY19" s="172"/>
      <c r="BZ19" s="172"/>
      <c r="CA19" s="553">
        <f>IF(CA$3&lt;'Data Entry'!$B$13-1,'Data Entry'!N59+'Data Entry'!N60,0)</f>
        <v>0</v>
      </c>
      <c r="CB19" s="42"/>
      <c r="CC19" s="172"/>
      <c r="CD19" s="172"/>
      <c r="CE19" s="172"/>
      <c r="CF19" s="172"/>
      <c r="CG19" s="172"/>
      <c r="CH19" s="172"/>
      <c r="CI19" s="172"/>
      <c r="CJ19" s="172"/>
      <c r="CK19" s="172"/>
      <c r="CL19" s="172"/>
      <c r="CM19" s="172"/>
      <c r="CN19" s="172"/>
      <c r="CO19" s="172"/>
      <c r="CP19" s="172"/>
      <c r="CQ19" s="172"/>
      <c r="CR19" s="172"/>
      <c r="CS19" s="172"/>
      <c r="CT19" s="172"/>
      <c r="CU19" s="172"/>
      <c r="CV19" s="172"/>
      <c r="CW19" s="172"/>
      <c r="CX19" s="172"/>
      <c r="CY19" s="569"/>
    </row>
    <row r="20" spans="1:103" ht="15" customHeight="1" x14ac:dyDescent="0.3">
      <c r="A20" s="875"/>
      <c r="B20" s="680" t="s">
        <v>534</v>
      </c>
      <c r="C20" s="685">
        <f t="shared" si="2"/>
        <v>0</v>
      </c>
      <c r="D20" s="549">
        <f>'Data Entry'!N68</f>
        <v>0</v>
      </c>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3"/>
      <c r="AP20" s="42"/>
      <c r="AQ20" s="172"/>
      <c r="AR20" s="172"/>
      <c r="AS20" s="172"/>
      <c r="AT20" s="172"/>
      <c r="AU20" s="172"/>
      <c r="AV20" s="172"/>
      <c r="AW20" s="172"/>
      <c r="AX20" s="172"/>
      <c r="AY20" s="172"/>
      <c r="AZ20" s="172"/>
      <c r="BA20" s="172"/>
      <c r="BB20" s="172"/>
      <c r="BC20" s="172"/>
      <c r="BD20" s="172"/>
      <c r="BE20" s="172"/>
      <c r="BF20" s="172"/>
      <c r="BG20" s="172"/>
      <c r="BH20" s="172"/>
      <c r="BI20" s="172"/>
      <c r="BJ20" s="172"/>
      <c r="BK20" s="173"/>
      <c r="BL20" s="42"/>
      <c r="BM20" s="172"/>
      <c r="BN20" s="172"/>
      <c r="BO20" s="172"/>
      <c r="BP20" s="172"/>
      <c r="BQ20" s="172"/>
      <c r="BR20" s="172"/>
      <c r="BS20" s="172"/>
      <c r="BT20" s="172"/>
      <c r="BU20" s="172"/>
      <c r="BV20" s="172"/>
      <c r="BW20" s="172"/>
      <c r="BX20" s="172"/>
      <c r="BY20" s="172"/>
      <c r="BZ20" s="172"/>
      <c r="CA20" s="173"/>
      <c r="CB20" s="42"/>
      <c r="CC20" s="172"/>
      <c r="CD20" s="172"/>
      <c r="CE20" s="172"/>
      <c r="CF20" s="172"/>
      <c r="CG20" s="172"/>
      <c r="CH20" s="172"/>
      <c r="CI20" s="172"/>
      <c r="CJ20" s="172"/>
      <c r="CK20" s="172"/>
      <c r="CL20" s="172"/>
      <c r="CM20" s="172"/>
      <c r="CN20" s="172"/>
      <c r="CO20" s="172"/>
      <c r="CP20" s="172"/>
      <c r="CQ20" s="172"/>
      <c r="CR20" s="172"/>
      <c r="CS20" s="172"/>
      <c r="CT20" s="172"/>
      <c r="CU20" s="172"/>
      <c r="CV20" s="172"/>
      <c r="CW20" s="172"/>
      <c r="CX20" s="172"/>
      <c r="CY20" s="569"/>
    </row>
    <row r="21" spans="1:103" ht="15" customHeight="1" x14ac:dyDescent="0.3">
      <c r="A21" s="875"/>
      <c r="B21" s="686" t="s">
        <v>535</v>
      </c>
      <c r="C21" s="685">
        <f t="shared" si="2"/>
        <v>0</v>
      </c>
      <c r="D21" s="549">
        <f>'Data Entry'!O64</f>
        <v>0</v>
      </c>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553">
        <f>IF('Data Entry'!B13&gt;35,'Data Entry'!O59,0)</f>
        <v>0</v>
      </c>
      <c r="AP21" s="42"/>
      <c r="AQ21" s="172"/>
      <c r="AR21" s="172"/>
      <c r="AS21" s="172"/>
      <c r="AT21" s="172"/>
      <c r="AU21" s="172"/>
      <c r="AV21" s="172"/>
      <c r="AW21" s="172"/>
      <c r="AX21" s="172"/>
      <c r="AY21" s="172"/>
      <c r="AZ21" s="172"/>
      <c r="BA21" s="172"/>
      <c r="BB21" s="172"/>
      <c r="BC21" s="172"/>
      <c r="BD21" s="172"/>
      <c r="BE21" s="172"/>
      <c r="BF21" s="172"/>
      <c r="BG21" s="172"/>
      <c r="BH21" s="172"/>
      <c r="BI21" s="172"/>
      <c r="BJ21" s="172"/>
      <c r="BK21" s="553">
        <f>IF(BK3&lt;'Data Entry'!$B$13,'Data Entry'!O61,0)</f>
        <v>0</v>
      </c>
      <c r="BL21" s="42"/>
      <c r="BM21" s="172"/>
      <c r="BN21" s="172"/>
      <c r="BO21" s="172"/>
      <c r="BP21" s="172"/>
      <c r="BQ21" s="172"/>
      <c r="BR21" s="172"/>
      <c r="BS21" s="172"/>
      <c r="BT21" s="172"/>
      <c r="BU21" s="172"/>
      <c r="BV21" s="172"/>
      <c r="BW21" s="172"/>
      <c r="BX21" s="172"/>
      <c r="BY21" s="172"/>
      <c r="BZ21" s="172"/>
      <c r="CA21" s="553">
        <f>IF(CA$3&lt;'Data Entry'!$B$13-1,'Data Entry'!O59+'Data Entry'!O60,0)</f>
        <v>0</v>
      </c>
      <c r="CB21" s="42"/>
      <c r="CC21" s="172"/>
      <c r="CD21" s="172"/>
      <c r="CE21" s="172"/>
      <c r="CF21" s="172"/>
      <c r="CG21" s="172"/>
      <c r="CH21" s="172"/>
      <c r="CI21" s="172"/>
      <c r="CJ21" s="172"/>
      <c r="CK21" s="172"/>
      <c r="CL21" s="172"/>
      <c r="CM21" s="172"/>
      <c r="CN21" s="172"/>
      <c r="CO21" s="172"/>
      <c r="CP21" s="172"/>
      <c r="CQ21" s="172"/>
      <c r="CR21" s="172"/>
      <c r="CS21" s="172"/>
      <c r="CT21" s="172"/>
      <c r="CU21" s="172"/>
      <c r="CV21" s="172"/>
      <c r="CW21" s="172"/>
      <c r="CX21" s="172"/>
      <c r="CY21" s="569"/>
    </row>
    <row r="22" spans="1:103" ht="15" customHeight="1" x14ac:dyDescent="0.3">
      <c r="A22" s="875"/>
      <c r="B22" s="686" t="s">
        <v>536</v>
      </c>
      <c r="C22" s="685">
        <f t="shared" si="2"/>
        <v>0</v>
      </c>
      <c r="D22" s="549">
        <f>'Data Entry'!O68</f>
        <v>0</v>
      </c>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2"/>
      <c r="AN22" s="172"/>
      <c r="AO22" s="173"/>
      <c r="AP22" s="42"/>
      <c r="AQ22" s="172"/>
      <c r="AR22" s="172"/>
      <c r="AS22" s="172"/>
      <c r="AT22" s="172"/>
      <c r="AU22" s="172"/>
      <c r="AV22" s="172"/>
      <c r="AW22" s="172"/>
      <c r="AX22" s="172"/>
      <c r="AY22" s="172"/>
      <c r="AZ22" s="172"/>
      <c r="BA22" s="172"/>
      <c r="BB22" s="172"/>
      <c r="BC22" s="172"/>
      <c r="BD22" s="172"/>
      <c r="BE22" s="172"/>
      <c r="BF22" s="172"/>
      <c r="BG22" s="172"/>
      <c r="BH22" s="172"/>
      <c r="BI22" s="172"/>
      <c r="BJ22" s="172"/>
      <c r="BK22" s="173"/>
      <c r="BL22" s="42"/>
      <c r="BM22" s="172"/>
      <c r="BN22" s="172"/>
      <c r="BO22" s="172"/>
      <c r="BP22" s="172"/>
      <c r="BQ22" s="172"/>
      <c r="BR22" s="172"/>
      <c r="BS22" s="172"/>
      <c r="BT22" s="172"/>
      <c r="BU22" s="172"/>
      <c r="BV22" s="172"/>
      <c r="BW22" s="172"/>
      <c r="BX22" s="172"/>
      <c r="BY22" s="172"/>
      <c r="BZ22" s="172"/>
      <c r="CA22" s="173"/>
      <c r="CB22" s="42"/>
      <c r="CC22" s="172"/>
      <c r="CD22" s="172"/>
      <c r="CE22" s="172"/>
      <c r="CF22" s="172"/>
      <c r="CG22" s="172"/>
      <c r="CH22" s="172"/>
      <c r="CI22" s="172"/>
      <c r="CJ22" s="172"/>
      <c r="CK22" s="172"/>
      <c r="CL22" s="172"/>
      <c r="CM22" s="172"/>
      <c r="CN22" s="172"/>
      <c r="CO22" s="172"/>
      <c r="CP22" s="172"/>
      <c r="CQ22" s="172"/>
      <c r="CR22" s="172"/>
      <c r="CS22" s="172"/>
      <c r="CT22" s="172"/>
      <c r="CU22" s="172"/>
      <c r="CV22" s="172"/>
      <c r="CW22" s="172"/>
      <c r="CX22" s="172"/>
      <c r="CY22" s="569"/>
    </row>
    <row r="23" spans="1:103" ht="15" customHeight="1" x14ac:dyDescent="0.3">
      <c r="A23" s="875"/>
      <c r="B23" s="686" t="s">
        <v>537</v>
      </c>
      <c r="C23" s="685">
        <f t="shared" si="2"/>
        <v>0</v>
      </c>
      <c r="D23" s="549">
        <f>SUM('Data Entry'!X64:Y64, 'Data Entry'!X68:Y68)</f>
        <v>0</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172"/>
      <c r="AM23" s="172"/>
      <c r="AN23" s="172"/>
      <c r="AO23" s="553">
        <f>IF('Data Entry'!B13 &gt; 35, SUM('Data Entry'!X59:Y59), 0)</f>
        <v>0</v>
      </c>
      <c r="AP23" s="42"/>
      <c r="AQ23" s="172"/>
      <c r="AR23" s="172"/>
      <c r="AS23" s="172"/>
      <c r="AT23" s="172"/>
      <c r="AU23" s="172"/>
      <c r="AV23" s="172"/>
      <c r="AW23" s="172"/>
      <c r="AX23" s="172"/>
      <c r="AY23" s="172"/>
      <c r="AZ23" s="172"/>
      <c r="BA23" s="172"/>
      <c r="BB23" s="172"/>
      <c r="BC23" s="172"/>
      <c r="BD23" s="172"/>
      <c r="BE23" s="172"/>
      <c r="BF23" s="172"/>
      <c r="BG23" s="172"/>
      <c r="BH23" s="172"/>
      <c r="BI23" s="172"/>
      <c r="BJ23" s="172"/>
      <c r="BK23" s="553">
        <f>IF(BK$3 &lt; 'Data Entry'!$B$13, SUM('Data Entry'!X61:Y61), 0)</f>
        <v>0</v>
      </c>
      <c r="BL23" s="42"/>
      <c r="BM23" s="172"/>
      <c r="BN23" s="172"/>
      <c r="BO23" s="172"/>
      <c r="BP23" s="172"/>
      <c r="BQ23" s="172"/>
      <c r="BR23" s="172"/>
      <c r="BS23" s="172"/>
      <c r="BT23" s="172"/>
      <c r="BU23" s="172"/>
      <c r="BV23" s="172"/>
      <c r="BW23" s="172"/>
      <c r="BX23" s="172"/>
      <c r="BY23" s="172"/>
      <c r="BZ23" s="172"/>
      <c r="CA23" s="553">
        <f>IF(CA$3 &lt; 'Data Entry'!$B$13 - 1, SUM('Data Entry'!X59:Y60), 0)</f>
        <v>0</v>
      </c>
      <c r="CB23" s="42"/>
      <c r="CC23" s="172"/>
      <c r="CD23" s="172"/>
      <c r="CE23" s="172"/>
      <c r="CF23" s="172"/>
      <c r="CG23" s="172"/>
      <c r="CH23" s="172"/>
      <c r="CI23" s="172"/>
      <c r="CJ23" s="172"/>
      <c r="CK23" s="172"/>
      <c r="CL23" s="172"/>
      <c r="CM23" s="172"/>
      <c r="CN23" s="172"/>
      <c r="CO23" s="172"/>
      <c r="CP23" s="172"/>
      <c r="CQ23" s="172"/>
      <c r="CR23" s="172"/>
      <c r="CS23" s="172"/>
      <c r="CT23" s="172"/>
      <c r="CU23" s="172"/>
      <c r="CV23" s="172"/>
      <c r="CW23" s="172"/>
      <c r="CX23" s="172"/>
      <c r="CY23" s="569"/>
    </row>
    <row r="24" spans="1:103" ht="15" customHeight="1" x14ac:dyDescent="0.3">
      <c r="A24" s="875"/>
      <c r="B24" s="680" t="s">
        <v>416</v>
      </c>
      <c r="C24" s="685">
        <f t="shared" si="2"/>
        <v>0</v>
      </c>
      <c r="D24" s="549">
        <f>'Data Entry'!$AB$64+'Data Entry'!$AB$68</f>
        <v>0</v>
      </c>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553">
        <f>IF('Data Entry'!B13&gt;35,'Data Entry'!AB59,0)</f>
        <v>0</v>
      </c>
      <c r="AP24" s="42"/>
      <c r="AQ24" s="172"/>
      <c r="AR24" s="172"/>
      <c r="AS24" s="172"/>
      <c r="AT24" s="172"/>
      <c r="AU24" s="172"/>
      <c r="AV24" s="172"/>
      <c r="AW24" s="172"/>
      <c r="AX24" s="172"/>
      <c r="AY24" s="172"/>
      <c r="AZ24" s="172"/>
      <c r="BA24" s="172"/>
      <c r="BB24" s="172"/>
      <c r="BC24" s="172"/>
      <c r="BD24" s="172"/>
      <c r="BE24" s="172"/>
      <c r="BF24" s="172"/>
      <c r="BG24" s="172"/>
      <c r="BH24" s="172"/>
      <c r="BI24" s="172"/>
      <c r="BJ24" s="172"/>
      <c r="BK24" s="553">
        <f>IF(BK$3&lt;'Data Entry'!$B$13,'Data Entry'!AB61,0)</f>
        <v>0</v>
      </c>
      <c r="BL24" s="42"/>
      <c r="BM24" s="172"/>
      <c r="BN24" s="172"/>
      <c r="BO24" s="172"/>
      <c r="BP24" s="172"/>
      <c r="BQ24" s="172"/>
      <c r="BR24" s="172"/>
      <c r="BS24" s="172"/>
      <c r="BT24" s="172"/>
      <c r="BU24" s="172"/>
      <c r="BV24" s="172"/>
      <c r="BW24" s="172"/>
      <c r="BX24" s="172"/>
      <c r="BY24" s="172"/>
      <c r="BZ24" s="172"/>
      <c r="CA24" s="553">
        <f>IF(CA$3&lt;'Data Entry'!$B$13-1,'Data Entry'!AB59+'Data Entry'!AB60,0)</f>
        <v>0</v>
      </c>
      <c r="CB24" s="42"/>
      <c r="CC24" s="172"/>
      <c r="CD24" s="172"/>
      <c r="CE24" s="172"/>
      <c r="CF24" s="172"/>
      <c r="CG24" s="172"/>
      <c r="CH24" s="172"/>
      <c r="CI24" s="172"/>
      <c r="CJ24" s="172"/>
      <c r="CK24" s="172"/>
      <c r="CL24" s="172"/>
      <c r="CM24" s="172"/>
      <c r="CN24" s="172"/>
      <c r="CO24" s="172"/>
      <c r="CP24" s="172"/>
      <c r="CQ24" s="172"/>
      <c r="CR24" s="172"/>
      <c r="CS24" s="172"/>
      <c r="CT24" s="172"/>
      <c r="CU24" s="172"/>
      <c r="CV24" s="172"/>
      <c r="CW24" s="172"/>
      <c r="CX24" s="172"/>
      <c r="CY24" s="569"/>
    </row>
    <row r="25" spans="1:103" ht="15" customHeight="1" x14ac:dyDescent="0.3">
      <c r="A25" s="875"/>
      <c r="B25" s="346" t="s">
        <v>335</v>
      </c>
      <c r="C25" s="685">
        <f>SUM(D25:CY25)</f>
        <v>0</v>
      </c>
      <c r="D25" s="549">
        <f>'Data Entry'!AC64+'Data Entry'!AC68</f>
        <v>0</v>
      </c>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176"/>
      <c r="AM25" s="176"/>
      <c r="AN25" s="176"/>
      <c r="AO25" s="177"/>
      <c r="AP25" s="176"/>
      <c r="AQ25" s="176"/>
      <c r="AR25" s="176"/>
      <c r="AS25" s="176"/>
      <c r="AT25" s="176"/>
      <c r="AU25" s="176"/>
      <c r="AV25" s="176"/>
      <c r="AW25" s="176"/>
      <c r="AX25" s="176"/>
      <c r="AY25" s="176"/>
      <c r="AZ25" s="176"/>
      <c r="BA25" s="176"/>
      <c r="BB25" s="176"/>
      <c r="BC25" s="176"/>
      <c r="BD25" s="176"/>
      <c r="BE25" s="176"/>
      <c r="BF25" s="176"/>
      <c r="BG25" s="176"/>
      <c r="BH25" s="176"/>
      <c r="BI25" s="176"/>
      <c r="BJ25" s="176"/>
      <c r="BK25" s="177"/>
      <c r="BL25" s="176"/>
      <c r="BM25" s="176"/>
      <c r="BN25" s="176"/>
      <c r="BO25" s="176"/>
      <c r="BP25" s="176"/>
      <c r="BQ25" s="176"/>
      <c r="BR25" s="176"/>
      <c r="BS25" s="176"/>
      <c r="BT25" s="176"/>
      <c r="BU25" s="176"/>
      <c r="BV25" s="176"/>
      <c r="BW25" s="176"/>
      <c r="BX25" s="176"/>
      <c r="BY25" s="176"/>
      <c r="BZ25" s="176"/>
      <c r="CA25" s="177"/>
      <c r="CB25" s="176"/>
      <c r="CC25" s="176"/>
      <c r="CD25" s="176"/>
      <c r="CE25" s="176"/>
      <c r="CF25" s="176"/>
      <c r="CG25" s="176"/>
      <c r="CH25" s="176"/>
      <c r="CI25" s="176"/>
      <c r="CJ25" s="176"/>
      <c r="CK25" s="176"/>
      <c r="CL25" s="176"/>
      <c r="CM25" s="176"/>
      <c r="CN25" s="176"/>
      <c r="CO25" s="176"/>
      <c r="CP25" s="176"/>
      <c r="CQ25" s="176"/>
      <c r="CR25" s="176"/>
      <c r="CS25" s="176"/>
      <c r="CT25" s="176"/>
      <c r="CU25" s="176"/>
      <c r="CV25" s="176"/>
      <c r="CW25" s="176"/>
      <c r="CX25" s="176"/>
      <c r="CY25" s="570"/>
    </row>
    <row r="26" spans="1:103" ht="15" customHeight="1" x14ac:dyDescent="0.3">
      <c r="A26" s="875"/>
      <c r="B26" s="686" t="s">
        <v>6</v>
      </c>
      <c r="C26" s="685">
        <f t="shared" si="2"/>
        <v>0</v>
      </c>
      <c r="D26" s="172"/>
      <c r="E26" s="549">
        <f>'Data Entry'!R64+'Data Entry'!R68</f>
        <v>0</v>
      </c>
      <c r="F26" s="549">
        <f>'Data Entry'!S64+'Data Entry'!S68</f>
        <v>0</v>
      </c>
      <c r="G26" s="549">
        <f>'Data Entry'!T64+'Data Entry'!T68</f>
        <v>0</v>
      </c>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2"/>
      <c r="AL26" s="172"/>
      <c r="AM26" s="172"/>
      <c r="AN26" s="172"/>
      <c r="AO26" s="173"/>
      <c r="AP26" s="549">
        <f>IF('Data Entry'!$B$13&gt;35,'Data Entry'!R59,0)</f>
        <v>0</v>
      </c>
      <c r="AQ26" s="549">
        <f>IF('Data Entry'!$B$13&gt;35,'Data Entry'!S59,0)</f>
        <v>0</v>
      </c>
      <c r="AR26" s="549">
        <f>IF(AR3&lt;'Data Entry'!$B$13,'Data Entry'!T59,0)</f>
        <v>0</v>
      </c>
      <c r="AS26" s="42"/>
      <c r="AT26" s="42"/>
      <c r="AU26" s="42"/>
      <c r="AV26" s="42"/>
      <c r="AW26" s="172"/>
      <c r="AX26" s="172"/>
      <c r="AY26" s="172"/>
      <c r="AZ26" s="172"/>
      <c r="BA26" s="172"/>
      <c r="BB26" s="172"/>
      <c r="BC26" s="172"/>
      <c r="BD26" s="172"/>
      <c r="BE26" s="172"/>
      <c r="BF26" s="172"/>
      <c r="BG26" s="172"/>
      <c r="BH26" s="172"/>
      <c r="BI26" s="172"/>
      <c r="BJ26" s="172"/>
      <c r="BK26" s="173"/>
      <c r="BL26" s="549">
        <f>IF(BL$3&lt;'Data Entry'!$B$13,'Data Entry'!R61,0)</f>
        <v>0</v>
      </c>
      <c r="BM26" s="549">
        <f>IF(BM$3&lt;'Data Entry'!$B$13,'Data Entry'!S61,0)</f>
        <v>0</v>
      </c>
      <c r="BN26" s="549">
        <f>IF(BN$3&lt;'Data Entry'!$B$13,'Data Entry'!T61,0)</f>
        <v>0</v>
      </c>
      <c r="BO26" s="42"/>
      <c r="BP26" s="172"/>
      <c r="BQ26" s="172"/>
      <c r="BR26" s="172"/>
      <c r="BS26" s="172"/>
      <c r="BT26" s="172"/>
      <c r="BU26" s="172"/>
      <c r="BV26" s="172"/>
      <c r="BW26" s="172"/>
      <c r="BX26" s="172"/>
      <c r="BY26" s="172"/>
      <c r="BZ26" s="172"/>
      <c r="CA26" s="173"/>
      <c r="CB26" s="549">
        <f>IF(CB$3&lt;'Data Entry'!$B$13,'Data Entry'!R59+'Data Entry'!R60,0)</f>
        <v>0</v>
      </c>
      <c r="CC26" s="549">
        <f>IF(CC$3&lt;'Data Entry'!$B$13,'Data Entry'!S59+'Data Entry'!S60,0)</f>
        <v>0</v>
      </c>
      <c r="CD26" s="549">
        <f>IF(CD$3&lt;'Data Entry'!$B$13,'Data Entry'!T59+'Data Entry'!T60,0)</f>
        <v>0</v>
      </c>
      <c r="CE26" s="42"/>
      <c r="CF26" s="172"/>
      <c r="CG26" s="42"/>
      <c r="CH26" s="42"/>
      <c r="CI26" s="42"/>
      <c r="CJ26" s="172"/>
      <c r="CK26" s="172"/>
      <c r="CL26" s="172"/>
      <c r="CM26" s="172"/>
      <c r="CN26" s="172"/>
      <c r="CO26" s="172"/>
      <c r="CP26" s="172"/>
      <c r="CQ26" s="172"/>
      <c r="CR26" s="172"/>
      <c r="CS26" s="172"/>
      <c r="CT26" s="172"/>
      <c r="CU26" s="172"/>
      <c r="CV26" s="172"/>
      <c r="CW26" s="172"/>
      <c r="CX26" s="172"/>
      <c r="CY26" s="569"/>
    </row>
    <row r="27" spans="1:103" ht="15" customHeight="1" x14ac:dyDescent="0.3">
      <c r="A27" s="875"/>
      <c r="B27" s="686" t="s">
        <v>538</v>
      </c>
      <c r="C27" s="685">
        <f t="shared" si="2"/>
        <v>0</v>
      </c>
      <c r="D27" s="172"/>
      <c r="E27" s="549">
        <f>'Data Entry'!U64</f>
        <v>0</v>
      </c>
      <c r="F27" s="549">
        <f>'Data Entry'!V64</f>
        <v>0</v>
      </c>
      <c r="G27" s="549">
        <f>'Data Entry'!W64</f>
        <v>0</v>
      </c>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2"/>
      <c r="AO27" s="173"/>
      <c r="AP27" s="549">
        <f>IF('Data Entry'!$B$13&gt;35,'Data Entry'!U59,0)</f>
        <v>0</v>
      </c>
      <c r="AQ27" s="549">
        <f>IF('Data Entry'!$B$13&gt;35,'Data Entry'!V59,0)</f>
        <v>0</v>
      </c>
      <c r="AR27" s="549">
        <f>IF(AR3&lt;'Data Entry'!$B$13,'Data Entry'!W59,0)</f>
        <v>0</v>
      </c>
      <c r="AS27" s="42"/>
      <c r="AT27" s="172"/>
      <c r="AU27" s="172"/>
      <c r="AV27" s="172"/>
      <c r="AW27" s="172"/>
      <c r="AX27" s="172"/>
      <c r="AY27" s="172"/>
      <c r="AZ27" s="172"/>
      <c r="BA27" s="172"/>
      <c r="BB27" s="172"/>
      <c r="BC27" s="172"/>
      <c r="BD27" s="172"/>
      <c r="BE27" s="172"/>
      <c r="BF27" s="172"/>
      <c r="BG27" s="172"/>
      <c r="BH27" s="172"/>
      <c r="BI27" s="172"/>
      <c r="BJ27" s="172"/>
      <c r="BK27" s="173"/>
      <c r="BL27" s="549">
        <f>IF(BL$3&lt;'Data Entry'!$B$13,'Data Entry'!U61,0)</f>
        <v>0</v>
      </c>
      <c r="BM27" s="549">
        <f>IF(BM$3&lt;'Data Entry'!$B$13,'Data Entry'!V61,0)</f>
        <v>0</v>
      </c>
      <c r="BN27" s="549">
        <f>IF(BN$3&lt;'Data Entry'!$B$13,'Data Entry'!W61,0)</f>
        <v>0</v>
      </c>
      <c r="BO27" s="42"/>
      <c r="BP27" s="172"/>
      <c r="BQ27" s="172"/>
      <c r="BR27" s="172"/>
      <c r="BS27" s="172"/>
      <c r="BT27" s="172"/>
      <c r="BU27" s="172"/>
      <c r="BV27" s="172"/>
      <c r="BW27" s="172"/>
      <c r="BX27" s="172"/>
      <c r="BY27" s="172"/>
      <c r="BZ27" s="172"/>
      <c r="CA27" s="173"/>
      <c r="CB27" s="549">
        <f>IF(CB$3&lt;'Data Entry'!$B$13,'Data Entry'!U59+'Data Entry'!U60,0)</f>
        <v>0</v>
      </c>
      <c r="CC27" s="549">
        <f>IF(CC$3&lt;'Data Entry'!$B$13,'Data Entry'!V59+'Data Entry'!V60,0)</f>
        <v>0</v>
      </c>
      <c r="CD27" s="549">
        <f>IF(CD$3&lt;'Data Entry'!$B$13,'Data Entry'!W59+'Data Entry'!W60,0)</f>
        <v>0</v>
      </c>
      <c r="CE27" s="42"/>
      <c r="CF27" s="172"/>
      <c r="CG27" s="172"/>
      <c r="CH27" s="172"/>
      <c r="CI27" s="172"/>
      <c r="CJ27" s="172"/>
      <c r="CK27" s="172"/>
      <c r="CL27" s="172"/>
      <c r="CM27" s="172"/>
      <c r="CN27" s="172"/>
      <c r="CO27" s="172"/>
      <c r="CP27" s="172"/>
      <c r="CQ27" s="172"/>
      <c r="CR27" s="172"/>
      <c r="CS27" s="172"/>
      <c r="CT27" s="172"/>
      <c r="CU27" s="172"/>
      <c r="CV27" s="172"/>
      <c r="CW27" s="172"/>
      <c r="CX27" s="172"/>
      <c r="CY27" s="569"/>
    </row>
    <row r="28" spans="1:103" ht="15" customHeight="1" x14ac:dyDescent="0.3">
      <c r="A28" s="875"/>
      <c r="B28" s="686" t="s">
        <v>539</v>
      </c>
      <c r="C28" s="685">
        <f t="shared" si="2"/>
        <v>0</v>
      </c>
      <c r="D28" s="172"/>
      <c r="E28" s="549">
        <f>'Data Entry'!U68</f>
        <v>0</v>
      </c>
      <c r="F28" s="549">
        <f>'Data Entry'!V68</f>
        <v>0</v>
      </c>
      <c r="G28" s="549">
        <f>'Data Entry'!W68</f>
        <v>0</v>
      </c>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2"/>
      <c r="AO28" s="173"/>
      <c r="AP28" s="172"/>
      <c r="AQ28" s="172"/>
      <c r="AR28" s="172"/>
      <c r="AS28" s="172"/>
      <c r="AT28" s="172"/>
      <c r="AU28" s="172"/>
      <c r="AV28" s="172"/>
      <c r="AW28" s="172"/>
      <c r="AX28" s="172"/>
      <c r="AY28" s="172"/>
      <c r="AZ28" s="172"/>
      <c r="BA28" s="172"/>
      <c r="BB28" s="172"/>
      <c r="BC28" s="172"/>
      <c r="BD28" s="172"/>
      <c r="BE28" s="172"/>
      <c r="BF28" s="172"/>
      <c r="BG28" s="172"/>
      <c r="BH28" s="172"/>
      <c r="BI28" s="172"/>
      <c r="BJ28" s="172"/>
      <c r="BK28" s="173"/>
      <c r="BL28" s="172"/>
      <c r="BM28" s="172"/>
      <c r="BN28" s="172"/>
      <c r="BO28" s="172"/>
      <c r="BP28" s="172"/>
      <c r="BQ28" s="172"/>
      <c r="BR28" s="172"/>
      <c r="BS28" s="172"/>
      <c r="BT28" s="172"/>
      <c r="BU28" s="172"/>
      <c r="BV28" s="172"/>
      <c r="BW28" s="172"/>
      <c r="BX28" s="172"/>
      <c r="BY28" s="172"/>
      <c r="BZ28" s="172"/>
      <c r="CA28" s="173"/>
      <c r="CB28" s="172"/>
      <c r="CC28" s="172"/>
      <c r="CD28" s="172"/>
      <c r="CE28" s="172"/>
      <c r="CF28" s="172"/>
      <c r="CG28" s="172"/>
      <c r="CH28" s="172"/>
      <c r="CI28" s="172"/>
      <c r="CJ28" s="172"/>
      <c r="CK28" s="172"/>
      <c r="CL28" s="172"/>
      <c r="CM28" s="172"/>
      <c r="CN28" s="172"/>
      <c r="CO28" s="172"/>
      <c r="CP28" s="172"/>
      <c r="CQ28" s="172"/>
      <c r="CR28" s="172"/>
      <c r="CS28" s="172"/>
      <c r="CT28" s="172"/>
      <c r="CU28" s="172"/>
      <c r="CV28" s="172"/>
      <c r="CW28" s="172"/>
      <c r="CX28" s="172"/>
      <c r="CY28" s="569"/>
    </row>
    <row r="29" spans="1:103" ht="15" customHeight="1" x14ac:dyDescent="0.3">
      <c r="A29" s="875"/>
      <c r="B29" s="686" t="s">
        <v>540</v>
      </c>
      <c r="C29" s="685">
        <f t="shared" si="2"/>
        <v>0</v>
      </c>
      <c r="D29" s="42"/>
      <c r="E29" s="172"/>
      <c r="F29" s="172"/>
      <c r="G29" s="172"/>
      <c r="H29" s="172"/>
      <c r="I29" s="172"/>
      <c r="J29" s="172"/>
      <c r="K29" s="172"/>
      <c r="L29" s="172"/>
      <c r="M29" s="549">
        <f>'Data Entry'!$Z$64+'Data Entry'!$Z$68</f>
        <v>0</v>
      </c>
      <c r="N29" s="4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2"/>
      <c r="AN29" s="172"/>
      <c r="AO29" s="173"/>
      <c r="AP29" s="172"/>
      <c r="AQ29" s="172"/>
      <c r="AR29" s="172"/>
      <c r="AS29" s="172"/>
      <c r="AT29" s="172"/>
      <c r="AU29" s="172"/>
      <c r="AV29" s="172"/>
      <c r="AW29" s="172"/>
      <c r="AX29" s="172"/>
      <c r="AY29" s="549">
        <f>IF(AY3&lt;'Data Entry'!$B$13,'Data Entry'!Z59,0)</f>
        <v>0</v>
      </c>
      <c r="AZ29" s="172"/>
      <c r="BA29" s="172"/>
      <c r="BB29" s="172"/>
      <c r="BC29" s="172"/>
      <c r="BD29" s="172"/>
      <c r="BE29" s="172"/>
      <c r="BF29" s="172"/>
      <c r="BG29" s="172"/>
      <c r="BH29" s="172"/>
      <c r="BI29" s="172"/>
      <c r="BJ29" s="172"/>
      <c r="BK29" s="173"/>
      <c r="BL29" s="172"/>
      <c r="BM29" s="172"/>
      <c r="BN29" s="172"/>
      <c r="BO29" s="172"/>
      <c r="BP29" s="172"/>
      <c r="BQ29" s="172"/>
      <c r="BR29" s="172"/>
      <c r="BS29" s="172"/>
      <c r="BT29" s="172"/>
      <c r="BU29" s="549">
        <f>IF(BU3&lt;'Data Entry'!$B$13-1,'Data Entry'!Z61,0)</f>
        <v>0</v>
      </c>
      <c r="BV29" s="172"/>
      <c r="BW29" s="172"/>
      <c r="BX29" s="172"/>
      <c r="BY29" s="172"/>
      <c r="BZ29" s="172"/>
      <c r="CA29" s="173"/>
      <c r="CB29" s="172"/>
      <c r="CC29" s="172"/>
      <c r="CD29" s="172"/>
      <c r="CE29" s="172"/>
      <c r="CF29" s="172"/>
      <c r="CG29" s="172"/>
      <c r="CH29" s="172"/>
      <c r="CI29" s="172"/>
      <c r="CJ29" s="172"/>
      <c r="CK29" s="549">
        <f>IF(CK3&lt;'Data Entry'!$B$13,'Data Entry'!Z59+'Data Entry'!Z60,0)</f>
        <v>0</v>
      </c>
      <c r="CL29" s="172"/>
      <c r="CM29" s="172"/>
      <c r="CN29" s="172"/>
      <c r="CO29" s="172"/>
      <c r="CP29" s="172"/>
      <c r="CQ29" s="172"/>
      <c r="CR29" s="172"/>
      <c r="CS29" s="172"/>
      <c r="CT29" s="172"/>
      <c r="CU29" s="172"/>
      <c r="CV29" s="172"/>
      <c r="CW29" s="172"/>
      <c r="CX29" s="172"/>
      <c r="CY29" s="569"/>
    </row>
    <row r="30" spans="1:103" ht="15" customHeight="1" x14ac:dyDescent="0.3">
      <c r="A30" s="876"/>
      <c r="B30" s="688" t="s">
        <v>284</v>
      </c>
      <c r="C30" s="685">
        <f t="shared" si="2"/>
        <v>0</v>
      </c>
      <c r="D30" s="550">
        <f>IF(SUM(D19:D28,D52,D53)&gt;0,'Cost Data'!$C$47,0)</f>
        <v>0</v>
      </c>
      <c r="E30" s="550">
        <f>IF(SUM(E19:E28,E52,E53)&gt;0,'Cost Data'!$C$47,0)</f>
        <v>0</v>
      </c>
      <c r="F30" s="550">
        <f>IF(SUM(F19:F28,F52,F53)&gt;0,'Cost Data'!$C$47,0)</f>
        <v>0</v>
      </c>
      <c r="G30" s="550">
        <f>IF(SUM(G19:G28,G52,G53)&gt;0,'Cost Data'!$C$47,0)</f>
        <v>0</v>
      </c>
      <c r="H30" s="550">
        <f>IF(SUM(H19:H28,H52,H53)&gt;0,'Cost Data'!$C$47,0)</f>
        <v>0</v>
      </c>
      <c r="I30" s="550">
        <f>IF(SUM(I19:I28,I52,I53)&gt;0,'Cost Data'!$C$47,0)</f>
        <v>0</v>
      </c>
      <c r="J30" s="550">
        <f>IF(SUM(J19:J28,J52,J53)&gt;0,'Cost Data'!$C$47,0)</f>
        <v>0</v>
      </c>
      <c r="K30" s="550">
        <f>IF(SUM(K19:K28,K52,K53)&gt;0,'Cost Data'!$C$47,0)</f>
        <v>0</v>
      </c>
      <c r="L30" s="550">
        <f>IF(SUM(L19:L28,L52,L53)&gt;0,'Cost Data'!$C$47,0)</f>
        <v>0</v>
      </c>
      <c r="M30" s="550">
        <f>IF(SUM(M19:M28,M52,M53)&gt;0,'Cost Data'!$C$47,0)</f>
        <v>0</v>
      </c>
      <c r="N30" s="550">
        <f>IF(SUM(N19:N28,N52,N53)&gt;0,'Cost Data'!$C$47,0)</f>
        <v>0</v>
      </c>
      <c r="O30" s="550">
        <f>IF(SUM(O19:O28,O52,O53)&gt;0,'Cost Data'!$C$47,0)</f>
        <v>0</v>
      </c>
      <c r="P30" s="550">
        <f>IF(SUM(P19:P28,P52,P53)&gt;0,'Cost Data'!$C$47,0)</f>
        <v>0</v>
      </c>
      <c r="Q30" s="550">
        <f>IF(SUM(Q19:Q28,Q52,Q53)&gt;0,'Cost Data'!$C$47,0)</f>
        <v>0</v>
      </c>
      <c r="R30" s="550">
        <f>IF(SUM(R19:R28,R52,R53)&gt;0,'Cost Data'!$C$47,0)</f>
        <v>0</v>
      </c>
      <c r="S30" s="550">
        <f>IF(SUM(S19:S28,S52,S53)&gt;0,'Cost Data'!$C$47,0)</f>
        <v>0</v>
      </c>
      <c r="T30" s="550">
        <f>IF(SUM(T19:T28,T52,T53)&gt;0,'Cost Data'!$C$47,0)</f>
        <v>0</v>
      </c>
      <c r="U30" s="550">
        <f>IF(SUM(U19:U28,U52,U53)&gt;0,'Cost Data'!$C$47,0)</f>
        <v>0</v>
      </c>
      <c r="V30" s="550">
        <f>IF(SUM(V19:V28,V52,V53)&gt;0,'Cost Data'!$C$47,0)</f>
        <v>0</v>
      </c>
      <c r="W30" s="550">
        <f>IF(SUM(W19:W28,W52,W53)&gt;0,'Cost Data'!$C$47,0)</f>
        <v>0</v>
      </c>
      <c r="X30" s="550">
        <f>IF(SUM(X19:X28,X52,X53)&gt;0,'Cost Data'!$C$47,0)</f>
        <v>0</v>
      </c>
      <c r="Y30" s="550">
        <f>IF(SUM(Y19:Y28,Y52,Y53)&gt;0,'Cost Data'!$C$47,0)</f>
        <v>0</v>
      </c>
      <c r="Z30" s="550">
        <f>IF(SUM(Z19:Z28,Z52,Z53)&gt;0,'Cost Data'!$C$47,0)</f>
        <v>0</v>
      </c>
      <c r="AA30" s="550">
        <f>IF(SUM(AA19:AA28,AA52,AA53)&gt;0,'Cost Data'!$C$47,0)</f>
        <v>0</v>
      </c>
      <c r="AB30" s="550">
        <f>IF(SUM(AB19:AB28,AB52,AB53)&gt;0,'Cost Data'!$C$47,0)</f>
        <v>0</v>
      </c>
      <c r="AC30" s="550">
        <f>IF(SUM(AC19:AC28,AC52,AC53)&gt;0,'Cost Data'!$C$47,0)</f>
        <v>0</v>
      </c>
      <c r="AD30" s="550">
        <f>IF(SUM(AD19:AD28,AD52,AD53)&gt;0,'Cost Data'!$C$47,0)</f>
        <v>0</v>
      </c>
      <c r="AE30" s="550">
        <f>IF(SUM(AE19:AE28,AE52,AE53)&gt;0,'Cost Data'!$C$47,0)</f>
        <v>0</v>
      </c>
      <c r="AF30" s="550">
        <f>IF(SUM(AF19:AF28,AF52,AF53)&gt;0,'Cost Data'!$C$47,0)</f>
        <v>0</v>
      </c>
      <c r="AG30" s="550">
        <f>IF(SUM(AG19:AG28,AG52,AG53)&gt;0,'Cost Data'!$C$47,0)</f>
        <v>0</v>
      </c>
      <c r="AH30" s="550">
        <f>IF(SUM(AH19:AH28,AH52,AH53)&gt;0,'Cost Data'!$C$47,0)</f>
        <v>0</v>
      </c>
      <c r="AI30" s="550">
        <f>IF(SUM(AI19:AI28,AI52,AI53)&gt;0,'Cost Data'!$C$47,0)</f>
        <v>0</v>
      </c>
      <c r="AJ30" s="550">
        <f>IF(SUM(AJ19:AJ28,AJ52,AJ53)&gt;0,'Cost Data'!$C$47,0)</f>
        <v>0</v>
      </c>
      <c r="AK30" s="550">
        <f>IF(SUM(AK19:AK28,AK52,AK53)&gt;0,'Cost Data'!$C$47,0)</f>
        <v>0</v>
      </c>
      <c r="AL30" s="550">
        <f>IF(SUM(AL19:AL28,AL52,AL53)&gt;0,'Cost Data'!$C$47,0)</f>
        <v>0</v>
      </c>
      <c r="AM30" s="550">
        <f>IF(SUM(AM19:AM28,AM52,AM53)&gt;0,'Cost Data'!$C$47,0)</f>
        <v>0</v>
      </c>
      <c r="AN30" s="550">
        <f>IF(SUM(AN19:AN28,AN52,AN53)&gt;0,'Cost Data'!$C$47,0)</f>
        <v>0</v>
      </c>
      <c r="AO30" s="554">
        <f>IF(SUM(AO19:AO28,AO52,AO53)&gt;0,'Cost Data'!$C$47,0)</f>
        <v>0</v>
      </c>
      <c r="AP30" s="550">
        <f>IF(SUM(AP19:AP28,AP52,AP53)&gt;0,'Cost Data'!$C$47,0)</f>
        <v>0</v>
      </c>
      <c r="AQ30" s="550">
        <f>IF(SUM(AQ19:AQ28,AQ52,AQ53)&gt;0,'Cost Data'!$C$47,0)</f>
        <v>0</v>
      </c>
      <c r="AR30" s="550">
        <f>IF(SUM(AR19:AR28,AR52,AR53)&gt;0,'Cost Data'!$C$47,0)</f>
        <v>0</v>
      </c>
      <c r="AS30" s="550">
        <f>IF(SUM(AS19:AS28,AS52,AS53)&gt;0,'Cost Data'!$C$47,0)</f>
        <v>0</v>
      </c>
      <c r="AT30" s="550">
        <f>IF(SUM(AT19:AT28,AT52,AT53)&gt;0,'Cost Data'!$C$47,0)</f>
        <v>0</v>
      </c>
      <c r="AU30" s="550">
        <f>IF(SUM(AU19:AU28,AU52,AU53)&gt;0,'Cost Data'!$C$47,0)</f>
        <v>0</v>
      </c>
      <c r="AV30" s="550">
        <f>IF(SUM(AV19:AV28,AV52,AV53)&gt;0,'Cost Data'!$C$47,0)</f>
        <v>0</v>
      </c>
      <c r="AW30" s="550">
        <f>IF(SUM(AW19:AW28,AW52,AW53)&gt;0,'Cost Data'!$C$47,0)</f>
        <v>0</v>
      </c>
      <c r="AX30" s="550">
        <f>IF(SUM(AX19:AX28,AX52,AX53)&gt;0,'Cost Data'!$C$47,0)</f>
        <v>0</v>
      </c>
      <c r="AY30" s="550">
        <f>IF(SUM(AY19:AY28,AY52,AY53)&gt;0,'Cost Data'!$C$47,0)</f>
        <v>0</v>
      </c>
      <c r="AZ30" s="550">
        <f>IF(SUM(AZ19:AZ28,AZ52,AZ53)&gt;0,'Cost Data'!$C$47,0)</f>
        <v>0</v>
      </c>
      <c r="BA30" s="550">
        <f>IF(SUM(BA19:BA28,BA52,BA53)&gt;0,'Cost Data'!$C$47,0)</f>
        <v>0</v>
      </c>
      <c r="BB30" s="550">
        <f>IF(SUM(BB19:BB28,BB52,BB53)&gt;0,'Cost Data'!$C$47,0)</f>
        <v>0</v>
      </c>
      <c r="BC30" s="550">
        <f>IF(SUM(BC19:BC28,BC52,BC53)&gt;0,'Cost Data'!$C$47,0)</f>
        <v>0</v>
      </c>
      <c r="BD30" s="550">
        <f>IF(SUM(BD19:BD28,BD52,BD53)&gt;0,'Cost Data'!$C$47,0)</f>
        <v>0</v>
      </c>
      <c r="BE30" s="550">
        <f>IF(SUM(BE19:BE28,BE52,BE53)&gt;0,'Cost Data'!$C$47,0)</f>
        <v>0</v>
      </c>
      <c r="BF30" s="550">
        <f>IF(SUM(BF19:BF28,BF52,BF53)&gt;0,'Cost Data'!$C$47,0)</f>
        <v>0</v>
      </c>
      <c r="BG30" s="550">
        <f>IF(SUM(BG19:BG28,BG52,BG53)&gt;0,'Cost Data'!$C$47,0)</f>
        <v>0</v>
      </c>
      <c r="BH30" s="550">
        <f>IF(SUM(BH19:BH28,BH52,BH53)&gt;0,'Cost Data'!$C$47,0)</f>
        <v>0</v>
      </c>
      <c r="BI30" s="550">
        <f>IF(SUM(BI19:BI28,BI52,BI53)&gt;0,'Cost Data'!$C$47,0)</f>
        <v>0</v>
      </c>
      <c r="BJ30" s="550">
        <f>IF(SUM(BJ19:BJ28,BJ52,BJ53)&gt;0,'Cost Data'!$C$47,0)</f>
        <v>0</v>
      </c>
      <c r="BK30" s="554">
        <f>IF(SUM(BK19:BK28,BK52,BK53)&gt;0,'Cost Data'!$C$47,0)</f>
        <v>0</v>
      </c>
      <c r="BL30" s="550">
        <f>IF(SUM(BL19:BL28,BL52,BL53)&gt;0,'Cost Data'!$C$47,0)</f>
        <v>0</v>
      </c>
      <c r="BM30" s="550">
        <f>IF(SUM(BM19:BM28,BM52,BM53)&gt;0,'Cost Data'!$C$47,0)</f>
        <v>0</v>
      </c>
      <c r="BN30" s="550">
        <f>IF(SUM(BN19:BN28,BN52,BN53)&gt;0,'Cost Data'!$C$47,0)</f>
        <v>0</v>
      </c>
      <c r="BO30" s="550">
        <f>IF(SUM(BO19:BO28,BO52,BO53)&gt;0,'Cost Data'!$C$47,0)</f>
        <v>0</v>
      </c>
      <c r="BP30" s="550">
        <f>IF(SUM(BP19:BP28,BP52,BP53)&gt;0,'Cost Data'!$C$47,0)</f>
        <v>0</v>
      </c>
      <c r="BQ30" s="550">
        <f>IF(SUM(BQ19:BQ28,BQ52,BQ53)&gt;0,'Cost Data'!$C$47,0)</f>
        <v>0</v>
      </c>
      <c r="BR30" s="550">
        <f>IF(SUM(BR19:BR28,BR52,BR53)&gt;0,'Cost Data'!$C$47,0)</f>
        <v>0</v>
      </c>
      <c r="BS30" s="550">
        <f>IF(SUM(BS19:BS28,BS52,BS53)&gt;0,'Cost Data'!$C$47,0)</f>
        <v>0</v>
      </c>
      <c r="BT30" s="550">
        <f>IF(SUM(BT19:BT28,BT52,BT53)&gt;0,'Cost Data'!$C$47,0)</f>
        <v>0</v>
      </c>
      <c r="BU30" s="550">
        <f>IF(SUM(BU19:BU28,BU52,BU53)&gt;0,'Cost Data'!$C$47,0)</f>
        <v>0</v>
      </c>
      <c r="BV30" s="550">
        <f>IF(SUM(BV19:BV28,BV52,BV53)&gt;0,'Cost Data'!$C$47,0)</f>
        <v>0</v>
      </c>
      <c r="BW30" s="550">
        <f>IF(SUM(BW19:BW28,BW52,BW53)&gt;0,'Cost Data'!$C$47,0)</f>
        <v>0</v>
      </c>
      <c r="BX30" s="550">
        <f>IF(SUM(BX19:BX28,BX52,BX53)&gt;0,'Cost Data'!$C$47,0)</f>
        <v>0</v>
      </c>
      <c r="BY30" s="550">
        <f>IF(SUM(BY19:BY28,BY52,BY53)&gt;0,'Cost Data'!$C$47,0)</f>
        <v>0</v>
      </c>
      <c r="BZ30" s="550">
        <f>IF(SUM(BZ19:BZ28,BZ52,BZ53)&gt;0,'Cost Data'!$C$47,0)</f>
        <v>0</v>
      </c>
      <c r="CA30" s="554">
        <f>IF(SUM(CA19:CA28,CA52,CA53)&gt;0,'Cost Data'!$C$47,0)</f>
        <v>0</v>
      </c>
      <c r="CB30" s="550">
        <f>IF(SUM(CB19:CB28,CB52,CB53)&gt;0,'Cost Data'!$C$47,0)</f>
        <v>0</v>
      </c>
      <c r="CC30" s="550">
        <f>IF(SUM(CC19:CC28,CC52,CC53)&gt;0,'Cost Data'!$C$47,0)</f>
        <v>0</v>
      </c>
      <c r="CD30" s="550">
        <f>IF(SUM(CD19:CD28,CD52,CD53)&gt;0,'Cost Data'!$C$47,0)</f>
        <v>0</v>
      </c>
      <c r="CE30" s="550">
        <f>IF(SUM(CE19:CE28,CE52,CE53)&gt;0,'Cost Data'!$C$47,0)</f>
        <v>0</v>
      </c>
      <c r="CF30" s="550">
        <f>IF(SUM(CF19:CF28,CF52,CF53)&gt;0,'Cost Data'!$C$47,0)</f>
        <v>0</v>
      </c>
      <c r="CG30" s="550">
        <f>IF(SUM(CG19:CG28,CG52,CG53)&gt;0,'Cost Data'!$C$47,0)</f>
        <v>0</v>
      </c>
      <c r="CH30" s="550">
        <f>IF(SUM(CH19:CH28,CH52,CH53)&gt;0,'Cost Data'!$C$47,0)</f>
        <v>0</v>
      </c>
      <c r="CI30" s="550">
        <f>IF(SUM(CI19:CI28,CI52,CI53)&gt;0,'Cost Data'!$C$47,0)</f>
        <v>0</v>
      </c>
      <c r="CJ30" s="550">
        <f>IF(SUM(CJ19:CJ28,CJ52,CJ53)&gt;0,'Cost Data'!$C$47,0)</f>
        <v>0</v>
      </c>
      <c r="CK30" s="550">
        <f>IF(SUM(CK19:CK28,CK52,CK53)&gt;0,'Cost Data'!$C$47,0)</f>
        <v>0</v>
      </c>
      <c r="CL30" s="550">
        <f>IF(SUM(CL19:CL28,CL52,CL53)&gt;0,'Cost Data'!$C$47,0)</f>
        <v>0</v>
      </c>
      <c r="CM30" s="550">
        <f>IF(SUM(CM19:CM28,CM52,CM53)&gt;0,'Cost Data'!$C$47,0)</f>
        <v>0</v>
      </c>
      <c r="CN30" s="550">
        <f>IF(SUM(CN19:CN28,CN52,CN53)&gt;0,'Cost Data'!$C$47,0)</f>
        <v>0</v>
      </c>
      <c r="CO30" s="550">
        <f>IF(SUM(CO19:CO28,CO52,CO53)&gt;0,'Cost Data'!$C$47,0)</f>
        <v>0</v>
      </c>
      <c r="CP30" s="550">
        <f>IF(SUM(CP19:CP28,CP52,CP53)&gt;0,'Cost Data'!$C$47,0)</f>
        <v>0</v>
      </c>
      <c r="CQ30" s="550">
        <f>IF(SUM(CQ19:CQ28,CQ52,CQ53)&gt;0,'Cost Data'!$C$47,0)</f>
        <v>0</v>
      </c>
      <c r="CR30" s="550">
        <f>IF(SUM(CR19:CR28,CR52,CR53)&gt;0,'Cost Data'!$C$47,0)</f>
        <v>0</v>
      </c>
      <c r="CS30" s="550">
        <f>IF(SUM(CS19:CS28,CS52,CS53)&gt;0,'Cost Data'!$C$47,0)</f>
        <v>0</v>
      </c>
      <c r="CT30" s="550">
        <f>IF(SUM(CT19:CT28,CT52,CT53)&gt;0,'Cost Data'!$C$47,0)</f>
        <v>0</v>
      </c>
      <c r="CU30" s="550">
        <f>IF(SUM(CU19:CU28,CU52,CU53)&gt;0,'Cost Data'!$C$47,0)</f>
        <v>0</v>
      </c>
      <c r="CV30" s="550">
        <f>IF(SUM(CV19:CV28,CV52,CV53)&gt;0,'Cost Data'!$C$47,0)</f>
        <v>0</v>
      </c>
      <c r="CW30" s="550">
        <f>IF(SUM(CW19:CW28,CW52,CW53)&gt;0,'Cost Data'!$C$47,0)</f>
        <v>0</v>
      </c>
      <c r="CX30" s="550">
        <f>IF(SUM(CX19:CX28,CX52,CX53)&gt;0,'Cost Data'!$C$47,0)</f>
        <v>0</v>
      </c>
      <c r="CY30" s="571">
        <f>IF(SUM(CY19:CY28,CY52,CY53)&gt;0,'Cost Data'!$C$47,0)</f>
        <v>0</v>
      </c>
    </row>
    <row r="31" spans="1:103" s="178" customFormat="1" ht="15" customHeight="1" x14ac:dyDescent="0.3">
      <c r="A31" s="689" t="s">
        <v>2</v>
      </c>
      <c r="B31" s="690"/>
      <c r="C31" s="691">
        <f>SUM(C5:C30)</f>
        <v>1695</v>
      </c>
      <c r="D31" s="690">
        <f>SUM(D5:D30)</f>
        <v>1695</v>
      </c>
      <c r="E31" s="690">
        <f t="shared" ref="E31:BP31" si="3">SUM(E5:E30)</f>
        <v>0</v>
      </c>
      <c r="F31" s="690">
        <f t="shared" si="3"/>
        <v>0</v>
      </c>
      <c r="G31" s="690">
        <f t="shared" si="3"/>
        <v>0</v>
      </c>
      <c r="H31" s="690">
        <f t="shared" si="3"/>
        <v>0</v>
      </c>
      <c r="I31" s="690">
        <f t="shared" si="3"/>
        <v>0</v>
      </c>
      <c r="J31" s="690">
        <f t="shared" si="3"/>
        <v>0</v>
      </c>
      <c r="K31" s="690">
        <f t="shared" si="3"/>
        <v>0</v>
      </c>
      <c r="L31" s="690">
        <f t="shared" si="3"/>
        <v>0</v>
      </c>
      <c r="M31" s="690">
        <f t="shared" si="3"/>
        <v>0</v>
      </c>
      <c r="N31" s="690">
        <f t="shared" si="3"/>
        <v>0</v>
      </c>
      <c r="O31" s="690">
        <f t="shared" si="3"/>
        <v>0</v>
      </c>
      <c r="P31" s="690">
        <f t="shared" si="3"/>
        <v>0</v>
      </c>
      <c r="Q31" s="690">
        <f t="shared" si="3"/>
        <v>0</v>
      </c>
      <c r="R31" s="690">
        <f t="shared" si="3"/>
        <v>0</v>
      </c>
      <c r="S31" s="690">
        <f t="shared" si="3"/>
        <v>0</v>
      </c>
      <c r="T31" s="690">
        <f t="shared" si="3"/>
        <v>0</v>
      </c>
      <c r="U31" s="690">
        <f t="shared" si="3"/>
        <v>0</v>
      </c>
      <c r="V31" s="690">
        <f t="shared" si="3"/>
        <v>0</v>
      </c>
      <c r="W31" s="690">
        <f t="shared" si="3"/>
        <v>0</v>
      </c>
      <c r="X31" s="690">
        <f t="shared" si="3"/>
        <v>0</v>
      </c>
      <c r="Y31" s="690">
        <f t="shared" si="3"/>
        <v>0</v>
      </c>
      <c r="Z31" s="690">
        <f t="shared" si="3"/>
        <v>0</v>
      </c>
      <c r="AA31" s="690">
        <f t="shared" si="3"/>
        <v>0</v>
      </c>
      <c r="AB31" s="690">
        <f t="shared" si="3"/>
        <v>0</v>
      </c>
      <c r="AC31" s="690">
        <f t="shared" si="3"/>
        <v>0</v>
      </c>
      <c r="AD31" s="690">
        <f t="shared" si="3"/>
        <v>0</v>
      </c>
      <c r="AE31" s="690">
        <f t="shared" si="3"/>
        <v>0</v>
      </c>
      <c r="AF31" s="690">
        <f t="shared" si="3"/>
        <v>0</v>
      </c>
      <c r="AG31" s="690">
        <f t="shared" si="3"/>
        <v>0</v>
      </c>
      <c r="AH31" s="690">
        <f t="shared" si="3"/>
        <v>0</v>
      </c>
      <c r="AI31" s="690">
        <f t="shared" si="3"/>
        <v>0</v>
      </c>
      <c r="AJ31" s="690">
        <f t="shared" si="3"/>
        <v>0</v>
      </c>
      <c r="AK31" s="690">
        <f t="shared" si="3"/>
        <v>0</v>
      </c>
      <c r="AL31" s="690">
        <f t="shared" si="3"/>
        <v>0</v>
      </c>
      <c r="AM31" s="690">
        <f t="shared" si="3"/>
        <v>0</v>
      </c>
      <c r="AN31" s="690">
        <f t="shared" si="3"/>
        <v>0</v>
      </c>
      <c r="AO31" s="692">
        <f t="shared" si="3"/>
        <v>0</v>
      </c>
      <c r="AP31" s="690">
        <f t="shared" si="3"/>
        <v>0</v>
      </c>
      <c r="AQ31" s="690">
        <f t="shared" si="3"/>
        <v>0</v>
      </c>
      <c r="AR31" s="690">
        <f t="shared" si="3"/>
        <v>0</v>
      </c>
      <c r="AS31" s="690">
        <f t="shared" si="3"/>
        <v>0</v>
      </c>
      <c r="AT31" s="690">
        <f t="shared" si="3"/>
        <v>0</v>
      </c>
      <c r="AU31" s="690">
        <f t="shared" si="3"/>
        <v>0</v>
      </c>
      <c r="AV31" s="690">
        <f t="shared" si="3"/>
        <v>0</v>
      </c>
      <c r="AW31" s="690">
        <f t="shared" si="3"/>
        <v>0</v>
      </c>
      <c r="AX31" s="690">
        <f t="shared" si="3"/>
        <v>0</v>
      </c>
      <c r="AY31" s="690">
        <f t="shared" si="3"/>
        <v>0</v>
      </c>
      <c r="AZ31" s="690">
        <f t="shared" si="3"/>
        <v>0</v>
      </c>
      <c r="BA31" s="690">
        <f t="shared" si="3"/>
        <v>0</v>
      </c>
      <c r="BB31" s="690">
        <f t="shared" si="3"/>
        <v>0</v>
      </c>
      <c r="BC31" s="690">
        <f t="shared" si="3"/>
        <v>0</v>
      </c>
      <c r="BD31" s="690">
        <f t="shared" si="3"/>
        <v>0</v>
      </c>
      <c r="BE31" s="690">
        <f t="shared" si="3"/>
        <v>0</v>
      </c>
      <c r="BF31" s="690">
        <f t="shared" si="3"/>
        <v>0</v>
      </c>
      <c r="BG31" s="690">
        <f t="shared" si="3"/>
        <v>0</v>
      </c>
      <c r="BH31" s="690">
        <f t="shared" si="3"/>
        <v>0</v>
      </c>
      <c r="BI31" s="690">
        <f t="shared" si="3"/>
        <v>0</v>
      </c>
      <c r="BJ31" s="690">
        <f t="shared" si="3"/>
        <v>0</v>
      </c>
      <c r="BK31" s="692">
        <f t="shared" si="3"/>
        <v>0</v>
      </c>
      <c r="BL31" s="690">
        <f t="shared" si="3"/>
        <v>0</v>
      </c>
      <c r="BM31" s="690">
        <f t="shared" si="3"/>
        <v>0</v>
      </c>
      <c r="BN31" s="690">
        <f t="shared" si="3"/>
        <v>0</v>
      </c>
      <c r="BO31" s="690">
        <f t="shared" si="3"/>
        <v>0</v>
      </c>
      <c r="BP31" s="690">
        <f t="shared" si="3"/>
        <v>0</v>
      </c>
      <c r="BQ31" s="690">
        <f t="shared" ref="BQ31:CY31" si="4">SUM(BQ5:BQ30)</f>
        <v>0</v>
      </c>
      <c r="BR31" s="690">
        <f t="shared" si="4"/>
        <v>0</v>
      </c>
      <c r="BS31" s="690">
        <f t="shared" si="4"/>
        <v>0</v>
      </c>
      <c r="BT31" s="690">
        <f t="shared" si="4"/>
        <v>0</v>
      </c>
      <c r="BU31" s="690">
        <f t="shared" si="4"/>
        <v>0</v>
      </c>
      <c r="BV31" s="690">
        <f t="shared" si="4"/>
        <v>0</v>
      </c>
      <c r="BW31" s="690">
        <f t="shared" si="4"/>
        <v>0</v>
      </c>
      <c r="BX31" s="690">
        <f t="shared" si="4"/>
        <v>0</v>
      </c>
      <c r="BY31" s="690">
        <f t="shared" si="4"/>
        <v>0</v>
      </c>
      <c r="BZ31" s="690">
        <f t="shared" si="4"/>
        <v>0</v>
      </c>
      <c r="CA31" s="692">
        <f t="shared" si="4"/>
        <v>0</v>
      </c>
      <c r="CB31" s="690">
        <f t="shared" si="4"/>
        <v>0</v>
      </c>
      <c r="CC31" s="690">
        <f t="shared" si="4"/>
        <v>0</v>
      </c>
      <c r="CD31" s="690">
        <f t="shared" si="4"/>
        <v>0</v>
      </c>
      <c r="CE31" s="690">
        <f t="shared" si="4"/>
        <v>0</v>
      </c>
      <c r="CF31" s="690">
        <f t="shared" si="4"/>
        <v>0</v>
      </c>
      <c r="CG31" s="690">
        <f t="shared" si="4"/>
        <v>0</v>
      </c>
      <c r="CH31" s="690">
        <f t="shared" si="4"/>
        <v>0</v>
      </c>
      <c r="CI31" s="690">
        <f t="shared" si="4"/>
        <v>0</v>
      </c>
      <c r="CJ31" s="690">
        <f t="shared" si="4"/>
        <v>0</v>
      </c>
      <c r="CK31" s="690">
        <f t="shared" si="4"/>
        <v>0</v>
      </c>
      <c r="CL31" s="690">
        <f t="shared" si="4"/>
        <v>0</v>
      </c>
      <c r="CM31" s="690">
        <f t="shared" si="4"/>
        <v>0</v>
      </c>
      <c r="CN31" s="690">
        <f t="shared" si="4"/>
        <v>0</v>
      </c>
      <c r="CO31" s="690">
        <f t="shared" si="4"/>
        <v>0</v>
      </c>
      <c r="CP31" s="690">
        <f t="shared" si="4"/>
        <v>0</v>
      </c>
      <c r="CQ31" s="690">
        <f t="shared" si="4"/>
        <v>0</v>
      </c>
      <c r="CR31" s="690">
        <f t="shared" si="4"/>
        <v>0</v>
      </c>
      <c r="CS31" s="690">
        <f t="shared" si="4"/>
        <v>0</v>
      </c>
      <c r="CT31" s="690">
        <f t="shared" si="4"/>
        <v>0</v>
      </c>
      <c r="CU31" s="690">
        <f t="shared" si="4"/>
        <v>0</v>
      </c>
      <c r="CV31" s="690">
        <f t="shared" si="4"/>
        <v>0</v>
      </c>
      <c r="CW31" s="690">
        <f t="shared" si="4"/>
        <v>0</v>
      </c>
      <c r="CX31" s="690">
        <f t="shared" si="4"/>
        <v>0</v>
      </c>
      <c r="CY31" s="693">
        <f t="shared" si="4"/>
        <v>0</v>
      </c>
    </row>
    <row r="32" spans="1:103" ht="15" customHeight="1" x14ac:dyDescent="0.3">
      <c r="A32" s="877" t="s">
        <v>521</v>
      </c>
      <c r="B32" t="s">
        <v>541</v>
      </c>
      <c r="C32" s="685">
        <f>SUM(D32:CY32)</f>
        <v>0</v>
      </c>
      <c r="D32" s="176"/>
      <c r="E32" s="551">
        <f>IF(E$3&lt;'Data Entry'!$B$13,'Data Entry'!$H$72,0)</f>
        <v>0</v>
      </c>
      <c r="F32" s="551">
        <f>IF(F$3&lt;'Data Entry'!$B$13,'Data Entry'!$H$72,0)</f>
        <v>0</v>
      </c>
      <c r="G32" s="551">
        <f>IF(G$3&lt;'Data Entry'!$B$13,'Data Entry'!$H$72,0)</f>
        <v>0</v>
      </c>
      <c r="H32" s="551">
        <f>IF(H$3&lt;'Data Entry'!$B$13,'Data Entry'!$H$72,0)</f>
        <v>0</v>
      </c>
      <c r="I32" s="551">
        <f>IF(I$3&lt;'Data Entry'!$B$13,'Data Entry'!$H$72,0)</f>
        <v>0</v>
      </c>
      <c r="J32" s="551">
        <f>IF(J$3&lt;'Data Entry'!$B$13,'Data Entry'!$H$72,0)</f>
        <v>0</v>
      </c>
      <c r="K32" s="551">
        <f>IF(K$3&lt;'Data Entry'!$B$13,'Data Entry'!$H$72,0)</f>
        <v>0</v>
      </c>
      <c r="L32" s="551">
        <f>IF(L$3&lt;'Data Entry'!$B$13,'Data Entry'!$H$72,0)</f>
        <v>0</v>
      </c>
      <c r="M32" s="551">
        <f>IF(M$3&lt;'Data Entry'!$B$13,'Data Entry'!$H$72,0)</f>
        <v>0</v>
      </c>
      <c r="N32" s="551">
        <f>IF(N$3&lt;'Data Entry'!$B$13,'Data Entry'!$H$72,0)</f>
        <v>0</v>
      </c>
      <c r="O32" s="551">
        <f>IF(O$3&lt;'Data Entry'!$B$13,'Data Entry'!$H$72,0)</f>
        <v>0</v>
      </c>
      <c r="P32" s="551">
        <f>IF(P$3&lt;'Data Entry'!$B$13,'Data Entry'!$H$72,0)</f>
        <v>0</v>
      </c>
      <c r="Q32" s="551">
        <f>IF(Q$3&lt;'Data Entry'!$B$13,'Data Entry'!$H$72,0)</f>
        <v>0</v>
      </c>
      <c r="R32" s="551">
        <f>IF(R$3&lt;'Data Entry'!$B$13,'Data Entry'!$H$72,0)</f>
        <v>0</v>
      </c>
      <c r="S32" s="551">
        <f>IF(S$3&lt;'Data Entry'!$B$13,'Data Entry'!$H$72,0)</f>
        <v>0</v>
      </c>
      <c r="T32" s="551">
        <f>IF(T$3&lt;'Data Entry'!$B$13,'Data Entry'!$H$72,0)</f>
        <v>0</v>
      </c>
      <c r="U32" s="551">
        <f>IF(U$3&lt;'Data Entry'!$B$13,'Data Entry'!$H$72,0)</f>
        <v>0</v>
      </c>
      <c r="V32" s="551">
        <f>IF(V$3&lt;'Data Entry'!$B$13,'Data Entry'!$H$72,0)</f>
        <v>0</v>
      </c>
      <c r="W32" s="551">
        <f>IF(W$3&lt;'Data Entry'!$B$13,'Data Entry'!$H$72,0)</f>
        <v>0</v>
      </c>
      <c r="X32" s="551">
        <f>IF(X$3&lt;'Data Entry'!$B$13,'Data Entry'!$H$72,0)</f>
        <v>0</v>
      </c>
      <c r="Y32" s="551">
        <f>IF(Y$3&lt;'Data Entry'!$B$13,'Data Entry'!$H$72,0)</f>
        <v>0</v>
      </c>
      <c r="Z32" s="551">
        <f>IF(Z$3&lt;'Data Entry'!$B$13,'Data Entry'!$H$72,0)</f>
        <v>0</v>
      </c>
      <c r="AA32" s="551">
        <f>IF(AA$3&lt;'Data Entry'!$B$13,'Data Entry'!$H$72,0)</f>
        <v>0</v>
      </c>
      <c r="AB32" s="551">
        <f>IF(AB$3&lt;'Data Entry'!$B$13,'Data Entry'!$H$72,0)</f>
        <v>0</v>
      </c>
      <c r="AC32" s="551">
        <f>IF(AC$3&lt;'Data Entry'!$B$13,'Data Entry'!$H$72,0)</f>
        <v>0</v>
      </c>
      <c r="AD32" s="551">
        <f>IF(AD$3&lt;'Data Entry'!$B$13,'Data Entry'!$H$72,0)</f>
        <v>0</v>
      </c>
      <c r="AE32" s="551">
        <f>IF(AE$3&lt;'Data Entry'!$B$13,'Data Entry'!$H$72,0)</f>
        <v>0</v>
      </c>
      <c r="AF32" s="551">
        <f>IF(AF$3&lt;'Data Entry'!$B$13,'Data Entry'!$H$72,0)</f>
        <v>0</v>
      </c>
      <c r="AG32" s="551">
        <f>IF(AG$3&lt;'Data Entry'!$B$13,'Data Entry'!$H$72,0)</f>
        <v>0</v>
      </c>
      <c r="AH32" s="551">
        <f>IF(AH$3&lt;'Data Entry'!$B$13,'Data Entry'!$H$72,0)</f>
        <v>0</v>
      </c>
      <c r="AI32" s="551">
        <f>IF(AI$3&lt;'Data Entry'!$B$13,'Data Entry'!$H$72,0)</f>
        <v>0</v>
      </c>
      <c r="AJ32" s="551">
        <f>IF(AJ$3&lt;'Data Entry'!$B$13,'Data Entry'!$H$72,0)</f>
        <v>0</v>
      </c>
      <c r="AK32" s="551">
        <f>IF(AK$3&lt;'Data Entry'!$B$13,'Data Entry'!$H$72,0)</f>
        <v>0</v>
      </c>
      <c r="AL32" s="551">
        <f>IF(AL$3&lt;'Data Entry'!$B$13,'Data Entry'!$H$72,0)</f>
        <v>0</v>
      </c>
      <c r="AM32" s="551">
        <f>IF(AM$3&lt;'Data Entry'!$B$13,'Data Entry'!$H$72,0)</f>
        <v>0</v>
      </c>
      <c r="AN32" s="551">
        <f>IF(AN$3&lt;'Data Entry'!$B$13,'Data Entry'!$H$72,0)</f>
        <v>0</v>
      </c>
      <c r="AO32" s="555">
        <f>IF(AO$3&lt;'Data Entry'!$B$13,'Data Entry'!$H$72,0)</f>
        <v>0</v>
      </c>
      <c r="AP32" s="551">
        <f>IF(AP$3&lt;'Data Entry'!$B$13,'Data Entry'!$H$72,0)</f>
        <v>0</v>
      </c>
      <c r="AQ32" s="551">
        <f>IF(AQ$3&lt;'Data Entry'!$B$13,'Data Entry'!$H$72,0)</f>
        <v>0</v>
      </c>
      <c r="AR32" s="551">
        <f>IF(AR$3&lt;'Data Entry'!$B$13,'Data Entry'!$H$72,0)</f>
        <v>0</v>
      </c>
      <c r="AS32" s="551">
        <f>IF(AS$3&lt;'Data Entry'!$B$13,'Data Entry'!$H$72,0)</f>
        <v>0</v>
      </c>
      <c r="AT32" s="551">
        <f>IF(AT$3&lt;'Data Entry'!$B$13,'Data Entry'!$H$72,0)</f>
        <v>0</v>
      </c>
      <c r="AU32" s="551">
        <f>IF(AU$3&lt;'Data Entry'!$B$13,'Data Entry'!$H$72,0)</f>
        <v>0</v>
      </c>
      <c r="AV32" s="551">
        <f>IF(AV$3&lt;'Data Entry'!$B$13,'Data Entry'!$H$72,0)</f>
        <v>0</v>
      </c>
      <c r="AW32" s="551">
        <f>IF(AW$3&lt;'Data Entry'!$B$13,'Data Entry'!$H$72,0)</f>
        <v>0</v>
      </c>
      <c r="AX32" s="551">
        <f>IF(AX$3&lt;'Data Entry'!$B$13,'Data Entry'!$H$72,0)</f>
        <v>0</v>
      </c>
      <c r="AY32" s="551">
        <f>IF(AY$3&lt;'Data Entry'!$B$13,'Data Entry'!$H$72,0)</f>
        <v>0</v>
      </c>
      <c r="AZ32" s="551">
        <f>IF(AZ$3&lt;'Data Entry'!$B$13,'Data Entry'!$H$72,0)</f>
        <v>0</v>
      </c>
      <c r="BA32" s="551">
        <f>IF(BA$3&lt;'Data Entry'!$B$13,'Data Entry'!$H$72,0)</f>
        <v>0</v>
      </c>
      <c r="BB32" s="551">
        <f>IF(BB$3&lt;'Data Entry'!$B$13,'Data Entry'!$H$72,0)</f>
        <v>0</v>
      </c>
      <c r="BC32" s="551">
        <f>IF(BC$3&lt;'Data Entry'!$B$13,'Data Entry'!$H$72,0)</f>
        <v>0</v>
      </c>
      <c r="BD32" s="551">
        <f>IF(BD$3&lt;'Data Entry'!$B$13,'Data Entry'!$H$72,0)</f>
        <v>0</v>
      </c>
      <c r="BE32" s="551">
        <f>IF(BE$3&lt;'Data Entry'!$B$13,'Data Entry'!$H$72,0)</f>
        <v>0</v>
      </c>
      <c r="BF32" s="551">
        <f>IF(BF$3&lt;'Data Entry'!$B$13,'Data Entry'!$H$72,0)</f>
        <v>0</v>
      </c>
      <c r="BG32" s="551">
        <f>IF(BG$3&lt;'Data Entry'!$B$13,'Data Entry'!$H$72,0)</f>
        <v>0</v>
      </c>
      <c r="BH32" s="551">
        <f>IF(BH$3&lt;'Data Entry'!$B$13,'Data Entry'!$H$72,0)</f>
        <v>0</v>
      </c>
      <c r="BI32" s="551">
        <f>IF(BI$3&lt;'Data Entry'!$B$13,'Data Entry'!$H$72,0)</f>
        <v>0</v>
      </c>
      <c r="BJ32" s="551">
        <f>IF(BJ$3&lt;'Data Entry'!$B$13,'Data Entry'!$H$72,0)</f>
        <v>0</v>
      </c>
      <c r="BK32" s="555">
        <f>IF(BK$3&lt;'Data Entry'!$B$13,'Data Entry'!$H$72,0)</f>
        <v>0</v>
      </c>
      <c r="BL32" s="551">
        <f>IF(BL$3&lt;'Data Entry'!$B$13,'Data Entry'!$H$72,0)</f>
        <v>0</v>
      </c>
      <c r="BM32" s="551">
        <f>IF(BM$3&lt;'Data Entry'!$B$13,'Data Entry'!$H$72,0)</f>
        <v>0</v>
      </c>
      <c r="BN32" s="551">
        <f>IF(BN$3&lt;'Data Entry'!$B$13,'Data Entry'!$H$72,0)</f>
        <v>0</v>
      </c>
      <c r="BO32" s="551">
        <f>IF(BO$3&lt;'Data Entry'!$B$13,'Data Entry'!$H$72,0)</f>
        <v>0</v>
      </c>
      <c r="BP32" s="551">
        <f>IF(BP$3&lt;'Data Entry'!$B$13,'Data Entry'!$H$72,0)</f>
        <v>0</v>
      </c>
      <c r="BQ32" s="551">
        <f>IF(BQ$3&lt;'Data Entry'!$B$13,'Data Entry'!$H$72,0)</f>
        <v>0</v>
      </c>
      <c r="BR32" s="551">
        <f>IF(BR$3&lt;'Data Entry'!$B$13,'Data Entry'!$H$72,0)</f>
        <v>0</v>
      </c>
      <c r="BS32" s="551">
        <f>IF(BS$3&lt;'Data Entry'!$B$13,'Data Entry'!$H$72,0)</f>
        <v>0</v>
      </c>
      <c r="BT32" s="551">
        <f>IF(BT$3&lt;'Data Entry'!$B$13,'Data Entry'!$H$72,0)</f>
        <v>0</v>
      </c>
      <c r="BU32" s="551">
        <f>IF(BU$3&lt;'Data Entry'!$B$13,'Data Entry'!$H$72,0)</f>
        <v>0</v>
      </c>
      <c r="BV32" s="551">
        <f>IF(BV$3&lt;'Data Entry'!$B$13,'Data Entry'!$H$72,0)</f>
        <v>0</v>
      </c>
      <c r="BW32" s="551">
        <f>IF(BW$3&lt;'Data Entry'!$B$13,'Data Entry'!$H$72,0)</f>
        <v>0</v>
      </c>
      <c r="BX32" s="551">
        <f>IF(BX$3&lt;'Data Entry'!$B$13,'Data Entry'!$H$72,0)</f>
        <v>0</v>
      </c>
      <c r="BY32" s="551">
        <f>IF(BY$3&lt;'Data Entry'!$B$13,'Data Entry'!$H$72,0)</f>
        <v>0</v>
      </c>
      <c r="BZ32" s="551">
        <f>IF(BZ$3&lt;'Data Entry'!$B$13,'Data Entry'!$H$72,0)</f>
        <v>0</v>
      </c>
      <c r="CA32" s="555">
        <f>IF(CA$3&lt;'Data Entry'!$B$13,'Data Entry'!$H$72,0)</f>
        <v>0</v>
      </c>
      <c r="CB32" s="551">
        <f>IF(CB$3&lt;'Data Entry'!$B$13,'Data Entry'!$H$72,0)</f>
        <v>0</v>
      </c>
      <c r="CC32" s="551">
        <f>IF(CC$3&lt;'Data Entry'!$B$13,'Data Entry'!$H$72,0)</f>
        <v>0</v>
      </c>
      <c r="CD32" s="551">
        <f>IF(CD$3&lt;'Data Entry'!$B$13,'Data Entry'!$H$72,0)</f>
        <v>0</v>
      </c>
      <c r="CE32" s="551">
        <f>IF(CE$3&lt;'Data Entry'!$B$13,'Data Entry'!$H$72,0)</f>
        <v>0</v>
      </c>
      <c r="CF32" s="551">
        <f>IF(CF$3&lt;'Data Entry'!$B$13,'Data Entry'!$H$72,0)</f>
        <v>0</v>
      </c>
      <c r="CG32" s="551">
        <f>IF(CG$3&lt;'Data Entry'!$B$13,'Data Entry'!$H$72,0)</f>
        <v>0</v>
      </c>
      <c r="CH32" s="551">
        <f>IF(CH$3&lt;'Data Entry'!$B$13,'Data Entry'!$H$72,0)</f>
        <v>0</v>
      </c>
      <c r="CI32" s="551">
        <f>IF(CI$3&lt;'Data Entry'!$B$13,'Data Entry'!$H$72,0)</f>
        <v>0</v>
      </c>
      <c r="CJ32" s="551">
        <f>IF(CJ$3&lt;'Data Entry'!$B$13,'Data Entry'!$H$72,0)</f>
        <v>0</v>
      </c>
      <c r="CK32" s="551">
        <f>IF(CK$3&lt;'Data Entry'!$B$13,'Data Entry'!$H$72,0)</f>
        <v>0</v>
      </c>
      <c r="CL32" s="551">
        <f>IF(CL$3&lt;'Data Entry'!$B$13,'Data Entry'!$H$72,0)</f>
        <v>0</v>
      </c>
      <c r="CM32" s="551">
        <f>IF(CM$3&lt;'Data Entry'!$B$13,'Data Entry'!$H$72,0)</f>
        <v>0</v>
      </c>
      <c r="CN32" s="551">
        <f>IF(CN$3&lt;'Data Entry'!$B$13,'Data Entry'!$H$72,0)</f>
        <v>0</v>
      </c>
      <c r="CO32" s="551">
        <f>IF(CO$3&lt;'Data Entry'!$B$13,'Data Entry'!$H$72,0)</f>
        <v>0</v>
      </c>
      <c r="CP32" s="551">
        <f>IF(CP$3&lt;'Data Entry'!$B$13,'Data Entry'!$H$72,0)</f>
        <v>0</v>
      </c>
      <c r="CQ32" s="551">
        <f>IF(CQ$3&lt;'Data Entry'!$B$13,'Data Entry'!$H$72,0)</f>
        <v>0</v>
      </c>
      <c r="CR32" s="551">
        <f>IF(CR$3&lt;'Data Entry'!$B$13,'Data Entry'!$H$72,0)</f>
        <v>0</v>
      </c>
      <c r="CS32" s="551">
        <f>IF(CS$3&lt;'Data Entry'!$B$13,'Data Entry'!$H$72,0)</f>
        <v>0</v>
      </c>
      <c r="CT32" s="551">
        <f>IF(CT$3&lt;'Data Entry'!$B$13,'Data Entry'!$H$72,0)</f>
        <v>0</v>
      </c>
      <c r="CU32" s="551">
        <f>IF(CU$3&lt;'Data Entry'!$B$13,'Data Entry'!$H$72,0)</f>
        <v>0</v>
      </c>
      <c r="CV32" s="551">
        <f>IF(CV$3&lt;'Data Entry'!$B$13,'Data Entry'!$H$72,0)</f>
        <v>0</v>
      </c>
      <c r="CW32" s="551">
        <f>IF(CW$3&lt;'Data Entry'!$B$13,'Data Entry'!$H$72,0)</f>
        <v>0</v>
      </c>
      <c r="CX32" s="551">
        <f>IF(CX$3&lt;'Data Entry'!$B$13,'Data Entry'!$H$72,0)</f>
        <v>0</v>
      </c>
      <c r="CY32" s="572">
        <f>IF(CY$3&lt;'Data Entry'!$B$13,'Data Entry'!$H$72,0)</f>
        <v>0</v>
      </c>
    </row>
    <row r="33" spans="1:103" ht="15" customHeight="1" x14ac:dyDescent="0.3">
      <c r="A33" s="878"/>
      <c r="B33" t="s">
        <v>8</v>
      </c>
      <c r="C33" s="685">
        <f>SUM(D33:CY33)</f>
        <v>0</v>
      </c>
      <c r="D33" s="551">
        <f>IF('Data Entry'!$B$73="Yes",IF(D3&lt;'Data Entry'!$B$13,'Data Entry'!$B$59*VLOOKUP(Cashflow!D3+1,'Cost Data'!$A$67:$E$166,2,FALSE)+'Data Entry'!$B$60*VLOOKUP(Cashflow!D3+1,'Cost Data'!$A$67:$E$166,3,FALSE)+'Data Entry'!$B$61*VLOOKUP(Cashflow!D3+1,'Cost Data'!$A$67:$E$166,4,FALSE)+SUM('Data Entry'!$B$62,'Data Entry'!$B$63,'Data Entry'!$B$65,'Data Entry'!$B$66,'Data Entry'!$B$67)*'Cost Data'!$C$46,0),0)</f>
        <v>0</v>
      </c>
      <c r="E33" s="551">
        <f>IF('Data Entry'!$B$73="Yes",IF(E3&lt;'Data Entry'!$B$13,'Data Entry'!$B$59*VLOOKUP(Cashflow!E3+1,'Cost Data'!$A$67:$E$166,2,FALSE)+'Data Entry'!$B$60*VLOOKUP(Cashflow!E3+1,'Cost Data'!$A$67:$E$166,3,FALSE)+'Data Entry'!$B$61*VLOOKUP(Cashflow!E3+1,'Cost Data'!$A$67:$E$166,4,FALSE)+SUM('Data Entry'!$B$62,'Data Entry'!$B$63,'Data Entry'!$B$65,'Data Entry'!$B$66,'Data Entry'!$B$67)*'Cost Data'!$C$46,0),0)</f>
        <v>0</v>
      </c>
      <c r="F33" s="551">
        <f>IF('Data Entry'!$B$73="Yes",IF(F3&lt;'Data Entry'!$B$13,'Data Entry'!$B$59*VLOOKUP(Cashflow!F3+1,'Cost Data'!$A$67:$E$166,2,FALSE)+'Data Entry'!$B$60*VLOOKUP(Cashflow!F3+1,'Cost Data'!$A$67:$E$166,3,FALSE)+'Data Entry'!$B$61*VLOOKUP(Cashflow!F3+1,'Cost Data'!$A$67:$E$166,4,FALSE)+SUM('Data Entry'!$B$62,'Data Entry'!$B$63,'Data Entry'!$B$65,'Data Entry'!$B$66,'Data Entry'!$B$67)*'Cost Data'!$C$46,0),0)</f>
        <v>0</v>
      </c>
      <c r="G33" s="551">
        <f>IF('Data Entry'!$B$73="Yes",IF(G3&lt;'Data Entry'!$B$13,'Data Entry'!$B$59*VLOOKUP(Cashflow!G3+1,'Cost Data'!$A$67:$E$166,2,FALSE)+'Data Entry'!$B$60*VLOOKUP(Cashflow!G3+1,'Cost Data'!$A$67:$E$166,3,FALSE)+'Data Entry'!$B$61*VLOOKUP(Cashflow!G3+1,'Cost Data'!$A$67:$E$166,4,FALSE)+SUM('Data Entry'!$B$62,'Data Entry'!$B$63,'Data Entry'!$B$65,'Data Entry'!$B$66,'Data Entry'!$B$67)*'Cost Data'!$C$46,0),0)</f>
        <v>0</v>
      </c>
      <c r="H33" s="551">
        <f>IF('Data Entry'!$B$73="Yes",IF(H3&lt;'Data Entry'!$B$13,'Data Entry'!$B$59*VLOOKUP(Cashflow!H3+1,'Cost Data'!$A$67:$E$166,2,FALSE)+'Data Entry'!$B$60*VLOOKUP(Cashflow!H3+1,'Cost Data'!$A$67:$E$166,3,FALSE)+'Data Entry'!$B$61*VLOOKUP(Cashflow!H3+1,'Cost Data'!$A$67:$E$166,4,FALSE)+SUM('Data Entry'!$B$62,'Data Entry'!$B$63,'Data Entry'!$B$65,'Data Entry'!$B$66,'Data Entry'!$B$67)*'Cost Data'!$C$46,0),0)</f>
        <v>0</v>
      </c>
      <c r="I33" s="551">
        <f>IF('Data Entry'!$B$73="Yes",IF(I3&lt;'Data Entry'!$B$13,'Data Entry'!$B$59*VLOOKUP(Cashflow!I3+1,'Cost Data'!$A$67:$E$166,2,FALSE)+'Data Entry'!$B$60*VLOOKUP(Cashflow!I3+1,'Cost Data'!$A$67:$E$166,3,FALSE)+'Data Entry'!$B$61*VLOOKUP(Cashflow!I3+1,'Cost Data'!$A$67:$E$166,4,FALSE)+SUM('Data Entry'!$B$62,'Data Entry'!$B$63,'Data Entry'!$B$65,'Data Entry'!$B$66,'Data Entry'!$B$67)*'Cost Data'!$C$46,0),0)</f>
        <v>0</v>
      </c>
      <c r="J33" s="551">
        <f>IF('Data Entry'!$B$73="Yes",IF(J3&lt;'Data Entry'!$B$13,'Data Entry'!$B$59*VLOOKUP(Cashflow!J3+1,'Cost Data'!$A$67:$E$166,2,FALSE)+'Data Entry'!$B$60*VLOOKUP(Cashflow!J3+1,'Cost Data'!$A$67:$E$166,3,FALSE)+'Data Entry'!$B$61*VLOOKUP(Cashflow!J3+1,'Cost Data'!$A$67:$E$166,4,FALSE)+SUM('Data Entry'!$B$62,'Data Entry'!$B$63,'Data Entry'!$B$65,'Data Entry'!$B$66,'Data Entry'!$B$67)*'Cost Data'!$C$46,0),0)</f>
        <v>0</v>
      </c>
      <c r="K33" s="551">
        <f>IF('Data Entry'!$B$73="Yes",IF(K3&lt;'Data Entry'!$B$13,'Data Entry'!$B$59*VLOOKUP(Cashflow!K3+1,'Cost Data'!$A$67:$E$166,2,FALSE)+'Data Entry'!$B$60*VLOOKUP(Cashflow!K3+1,'Cost Data'!$A$67:$E$166,3,FALSE)+'Data Entry'!$B$61*VLOOKUP(Cashflow!K3+1,'Cost Data'!$A$67:$E$166,4,FALSE)+SUM('Data Entry'!$B$62,'Data Entry'!$B$63,'Data Entry'!$B$65,'Data Entry'!$B$66,'Data Entry'!$B$67)*'Cost Data'!$C$46,0),0)</f>
        <v>0</v>
      </c>
      <c r="L33" s="551">
        <f>IF('Data Entry'!$B$73="Yes",IF(L3&lt;'Data Entry'!$B$13,'Data Entry'!$B$59*VLOOKUP(Cashflow!L3+1,'Cost Data'!$A$67:$E$166,2,FALSE)+'Data Entry'!$B$60*VLOOKUP(Cashflow!L3+1,'Cost Data'!$A$67:$E$166,3,FALSE)+'Data Entry'!$B$61*VLOOKUP(Cashflow!L3+1,'Cost Data'!$A$67:$E$166,4,FALSE)+SUM('Data Entry'!$B$62,'Data Entry'!$B$63,'Data Entry'!$B$65,'Data Entry'!$B$66,'Data Entry'!$B$67)*'Cost Data'!$C$46,0),0)</f>
        <v>0</v>
      </c>
      <c r="M33" s="551">
        <f>IF('Data Entry'!$B$73="Yes",IF(M3&lt;'Data Entry'!$B$13,'Data Entry'!$B$59*VLOOKUP(Cashflow!M3+1,'Cost Data'!$A$67:$E$166,2,FALSE)+'Data Entry'!$B$60*VLOOKUP(Cashflow!M3+1,'Cost Data'!$A$67:$E$166,3,FALSE)+'Data Entry'!$B$61*VLOOKUP(Cashflow!M3+1,'Cost Data'!$A$67:$E$166,4,FALSE)+SUM('Data Entry'!$B$62,'Data Entry'!$B$63,'Data Entry'!$B$65,'Data Entry'!$B$66,'Data Entry'!$B$67)*'Cost Data'!$C$46,0),0)</f>
        <v>0</v>
      </c>
      <c r="N33" s="551">
        <f>IF('Data Entry'!$B$73="Yes",IF(N3&lt;'Data Entry'!$B$13,'Data Entry'!$B$59*VLOOKUP(Cashflow!N3+1,'Cost Data'!$A$67:$E$166,2,FALSE)+'Data Entry'!$B$60*VLOOKUP(Cashflow!N3+1,'Cost Data'!$A$67:$E$166,3,FALSE)+'Data Entry'!$B$61*VLOOKUP(Cashflow!N3+1,'Cost Data'!$A$67:$E$166,4,FALSE)+SUM('Data Entry'!$B$62,'Data Entry'!$B$63,'Data Entry'!$B$65,'Data Entry'!$B$66,'Data Entry'!$B$67)*'Cost Data'!$C$46,0),0)</f>
        <v>0</v>
      </c>
      <c r="O33" s="551">
        <f>IF('Data Entry'!$B$73="Yes",IF(O3&lt;'Data Entry'!$B$13,'Data Entry'!$B$59*VLOOKUP(Cashflow!O3+1,'Cost Data'!$A$67:$E$166,2,FALSE)+'Data Entry'!$B$60*VLOOKUP(Cashflow!O3+1,'Cost Data'!$A$67:$E$166,3,FALSE)+'Data Entry'!$B$61*VLOOKUP(Cashflow!O3+1,'Cost Data'!$A$67:$E$166,4,FALSE)+SUM('Data Entry'!$B$62,'Data Entry'!$B$63,'Data Entry'!$B$65,'Data Entry'!$B$66,'Data Entry'!$B$67)*'Cost Data'!$C$46,0),0)</f>
        <v>0</v>
      </c>
      <c r="P33" s="551">
        <f>IF('Data Entry'!$B$73="Yes",IF(P3&lt;'Data Entry'!$B$13,'Data Entry'!$B$59*VLOOKUP(Cashflow!P3+1,'Cost Data'!$A$67:$E$166,2,FALSE)+'Data Entry'!$B$60*VLOOKUP(Cashflow!P3+1,'Cost Data'!$A$67:$E$166,3,FALSE)+'Data Entry'!$B$61*VLOOKUP(Cashflow!P3+1,'Cost Data'!$A$67:$E$166,4,FALSE)+SUM('Data Entry'!$B$62,'Data Entry'!$B$63,'Data Entry'!$B$65,'Data Entry'!$B$66,'Data Entry'!$B$67)*'Cost Data'!$C$46,0),0)</f>
        <v>0</v>
      </c>
      <c r="Q33" s="551">
        <f>IF('Data Entry'!$B$73="Yes",IF(Q3&lt;'Data Entry'!$B$13,'Data Entry'!$B$59*VLOOKUP(Cashflow!Q3+1,'Cost Data'!$A$67:$E$166,2,FALSE)+'Data Entry'!$B$60*VLOOKUP(Cashflow!Q3+1,'Cost Data'!$A$67:$E$166,3,FALSE)+'Data Entry'!$B$61*VLOOKUP(Cashflow!Q3+1,'Cost Data'!$A$67:$E$166,4,FALSE)+SUM('Data Entry'!$B$62,'Data Entry'!$B$63,'Data Entry'!$B$65,'Data Entry'!$B$66,'Data Entry'!$B$67)*'Cost Data'!$C$46,0),0)</f>
        <v>0</v>
      </c>
      <c r="R33" s="551">
        <f>IF('Data Entry'!$B$73="Yes",IF(R3&lt;'Data Entry'!$B$13,'Data Entry'!$B$59*VLOOKUP(Cashflow!R3+1,'Cost Data'!$A$67:$E$166,2,FALSE)+'Data Entry'!$B$60*VLOOKUP(Cashflow!R3+1,'Cost Data'!$A$67:$E$166,3,FALSE)+'Data Entry'!$B$61*VLOOKUP(Cashflow!R3+1,'Cost Data'!$A$67:$E$166,4,FALSE)+SUM('Data Entry'!$B$62,'Data Entry'!$B$63,'Data Entry'!$B$65,'Data Entry'!$B$66,'Data Entry'!$B$67)*'Cost Data'!$C$46,0),0)</f>
        <v>0</v>
      </c>
      <c r="S33" s="551">
        <f>IF('Data Entry'!$B$73="Yes",IF(S3&lt;'Data Entry'!$B$13,'Data Entry'!$B$59*VLOOKUP(Cashflow!S3+1,'Cost Data'!$A$67:$E$166,2,FALSE)+'Data Entry'!$B$60*VLOOKUP(Cashflow!S3+1,'Cost Data'!$A$67:$E$166,3,FALSE)+'Data Entry'!$B$61*VLOOKUP(Cashflow!S3+1,'Cost Data'!$A$67:$E$166,4,FALSE)+SUM('Data Entry'!$B$62,'Data Entry'!$B$63,'Data Entry'!$B$65,'Data Entry'!$B$66,'Data Entry'!$B$67)*'Cost Data'!$C$46,0),0)</f>
        <v>0</v>
      </c>
      <c r="T33" s="551">
        <f>IF('Data Entry'!$B$73="Yes",IF(T3&lt;'Data Entry'!$B$13,'Data Entry'!$B$59*VLOOKUP(Cashflow!T3+1,'Cost Data'!$A$67:$E$166,2,FALSE)+'Data Entry'!$B$60*VLOOKUP(Cashflow!T3+1,'Cost Data'!$A$67:$E$166,3,FALSE)+'Data Entry'!$B$61*VLOOKUP(Cashflow!T3+1,'Cost Data'!$A$67:$E$166,4,FALSE)+SUM('Data Entry'!$B$62,'Data Entry'!$B$63,'Data Entry'!$B$65,'Data Entry'!$B$66,'Data Entry'!$B$67)*'Cost Data'!$C$46,0),0)</f>
        <v>0</v>
      </c>
      <c r="U33" s="551">
        <f>IF('Data Entry'!$B$73="Yes",IF(U3&lt;'Data Entry'!$B$13,'Data Entry'!$B$59*VLOOKUP(Cashflow!U3+1,'Cost Data'!$A$67:$E$166,2,FALSE)+'Data Entry'!$B$60*VLOOKUP(Cashflow!U3+1,'Cost Data'!$A$67:$E$166,3,FALSE)+'Data Entry'!$B$61*VLOOKUP(Cashflow!U3+1,'Cost Data'!$A$67:$E$166,4,FALSE)+SUM('Data Entry'!$B$62,'Data Entry'!$B$63,'Data Entry'!$B$65,'Data Entry'!$B$66,'Data Entry'!$B$67)*'Cost Data'!$C$46,0),0)</f>
        <v>0</v>
      </c>
      <c r="V33" s="551">
        <f>IF('Data Entry'!$B$73="Yes",IF(V3&lt;'Data Entry'!$B$13,'Data Entry'!$B$59*VLOOKUP(Cashflow!V3+1,'Cost Data'!$A$67:$E$166,2,FALSE)+'Data Entry'!$B$60*VLOOKUP(Cashflow!V3+1,'Cost Data'!$A$67:$E$166,3,FALSE)+'Data Entry'!$B$61*VLOOKUP(Cashflow!V3+1,'Cost Data'!$A$67:$E$166,4,FALSE)+SUM('Data Entry'!$B$62,'Data Entry'!$B$63,'Data Entry'!$B$65,'Data Entry'!$B$66,'Data Entry'!$B$67)*'Cost Data'!$C$46,0),0)</f>
        <v>0</v>
      </c>
      <c r="W33" s="551">
        <f>IF('Data Entry'!$B$73="Yes",IF(W3&lt;'Data Entry'!$B$13,'Data Entry'!$B$59*VLOOKUP(Cashflow!W3+1,'Cost Data'!$A$67:$E$166,2,FALSE)+'Data Entry'!$B$60*VLOOKUP(Cashflow!W3+1,'Cost Data'!$A$67:$E$166,3,FALSE)+'Data Entry'!$B$61*VLOOKUP(Cashflow!W3+1,'Cost Data'!$A$67:$E$166,4,FALSE)+SUM('Data Entry'!$B$62,'Data Entry'!$B$63,'Data Entry'!$B$65,'Data Entry'!$B$66,'Data Entry'!$B$67)*'Cost Data'!$C$46,0),0)</f>
        <v>0</v>
      </c>
      <c r="X33" s="551">
        <f>IF('Data Entry'!$B$73="Yes",IF(X3&lt;'Data Entry'!$B$13,'Data Entry'!$B$59*VLOOKUP(Cashflow!X3+1,'Cost Data'!$A$67:$E$166,2,FALSE)+'Data Entry'!$B$60*VLOOKUP(Cashflow!X3+1,'Cost Data'!$A$67:$E$166,3,FALSE)+'Data Entry'!$B$61*VLOOKUP(Cashflow!X3+1,'Cost Data'!$A$67:$E$166,4,FALSE)+SUM('Data Entry'!$B$62,'Data Entry'!$B$63,'Data Entry'!$B$65,'Data Entry'!$B$66,'Data Entry'!$B$67)*'Cost Data'!$C$46,0),0)</f>
        <v>0</v>
      </c>
      <c r="Y33" s="551">
        <f>IF('Data Entry'!$B$73="Yes",IF(Y3&lt;'Data Entry'!$B$13,'Data Entry'!$B$59*VLOOKUP(Cashflow!Y3+1,'Cost Data'!$A$67:$E$166,2,FALSE)+'Data Entry'!$B$60*VLOOKUP(Cashflow!Y3+1,'Cost Data'!$A$67:$E$166,3,FALSE)+'Data Entry'!$B$61*VLOOKUP(Cashflow!Y3+1,'Cost Data'!$A$67:$E$166,4,FALSE)+SUM('Data Entry'!$B$62,'Data Entry'!$B$63,'Data Entry'!$B$65,'Data Entry'!$B$66,'Data Entry'!$B$67)*'Cost Data'!$C$46,0),0)</f>
        <v>0</v>
      </c>
      <c r="Z33" s="551">
        <f>IF('Data Entry'!$B$73="Yes",IF(Z3&lt;'Data Entry'!$B$13,'Data Entry'!$B$59*VLOOKUP(Cashflow!Z3+1,'Cost Data'!$A$67:$E$166,2,FALSE)+'Data Entry'!$B$60*VLOOKUP(Cashflow!Z3+1,'Cost Data'!$A$67:$E$166,3,FALSE)+'Data Entry'!$B$61*VLOOKUP(Cashflow!Z3+1,'Cost Data'!$A$67:$E$166,4,FALSE)+SUM('Data Entry'!$B$62,'Data Entry'!$B$63,'Data Entry'!$B$65,'Data Entry'!$B$66,'Data Entry'!$B$67)*'Cost Data'!$C$46,0),0)</f>
        <v>0</v>
      </c>
      <c r="AA33" s="551">
        <f>IF('Data Entry'!$B$73="Yes",IF(AA3&lt;'Data Entry'!$B$13,'Data Entry'!$B$59*VLOOKUP(Cashflow!AA3+1,'Cost Data'!$A$67:$E$166,2,FALSE)+'Data Entry'!$B$60*VLOOKUP(Cashflow!AA3+1,'Cost Data'!$A$67:$E$166,3,FALSE)+'Data Entry'!$B$61*VLOOKUP(Cashflow!AA3+1,'Cost Data'!$A$67:$E$166,4,FALSE)+SUM('Data Entry'!$B$62,'Data Entry'!$B$63,'Data Entry'!$B$65,'Data Entry'!$B$66,'Data Entry'!$B$67)*'Cost Data'!$C$46,0),0)</f>
        <v>0</v>
      </c>
      <c r="AB33" s="551">
        <f>IF('Data Entry'!$B$73="Yes",IF(AB3&lt;'Data Entry'!$B$13,'Data Entry'!$B$59*VLOOKUP(Cashflow!AB3+1,'Cost Data'!$A$67:$E$166,2,FALSE)+'Data Entry'!$B$60*VLOOKUP(Cashflow!AB3+1,'Cost Data'!$A$67:$E$166,3,FALSE)+'Data Entry'!$B$61*VLOOKUP(Cashflow!AB3+1,'Cost Data'!$A$67:$E$166,4,FALSE)+SUM('Data Entry'!$B$62,'Data Entry'!$B$63,'Data Entry'!$B$65,'Data Entry'!$B$66,'Data Entry'!$B$67)*'Cost Data'!$C$46,0),0)</f>
        <v>0</v>
      </c>
      <c r="AC33" s="551">
        <f>IF('Data Entry'!$B$73="Yes",IF(AC3&lt;'Data Entry'!$B$13,'Data Entry'!$B$59*VLOOKUP(Cashflow!AC3+1,'Cost Data'!$A$67:$E$166,2,FALSE)+'Data Entry'!$B$60*VLOOKUP(Cashflow!AC3+1,'Cost Data'!$A$67:$E$166,3,FALSE)+'Data Entry'!$B$61*VLOOKUP(Cashflow!AC3+1,'Cost Data'!$A$67:$E$166,4,FALSE)+SUM('Data Entry'!$B$62,'Data Entry'!$B$63,'Data Entry'!$B$65,'Data Entry'!$B$66,'Data Entry'!$B$67)*'Cost Data'!$C$46,0),0)</f>
        <v>0</v>
      </c>
      <c r="AD33" s="551">
        <f>IF('Data Entry'!$B$73="Yes",IF(AD3&lt;'Data Entry'!$B$13,'Data Entry'!$B$59*VLOOKUP(Cashflow!AD3+1,'Cost Data'!$A$67:$E$166,2,FALSE)+'Data Entry'!$B$60*VLOOKUP(Cashflow!AD3+1,'Cost Data'!$A$67:$E$166,3,FALSE)+'Data Entry'!$B$61*VLOOKUP(Cashflow!AD3+1,'Cost Data'!$A$67:$E$166,4,FALSE)+SUM('Data Entry'!$B$62,'Data Entry'!$B$63,'Data Entry'!$B$65,'Data Entry'!$B$66,'Data Entry'!$B$67)*'Cost Data'!$C$46,0),0)</f>
        <v>0</v>
      </c>
      <c r="AE33" s="551">
        <f>IF('Data Entry'!$B$73="Yes",IF(AE3&lt;'Data Entry'!$B$13,'Data Entry'!$B$59*VLOOKUP(Cashflow!AE3+1,'Cost Data'!$A$67:$E$166,2,FALSE)+'Data Entry'!$B$60*VLOOKUP(Cashflow!AE3+1,'Cost Data'!$A$67:$E$166,3,FALSE)+'Data Entry'!$B$61*VLOOKUP(Cashflow!AE3+1,'Cost Data'!$A$67:$E$166,4,FALSE)+SUM('Data Entry'!$B$62,'Data Entry'!$B$63,'Data Entry'!$B$65,'Data Entry'!$B$66,'Data Entry'!$B$67)*'Cost Data'!$C$46,0),0)</f>
        <v>0</v>
      </c>
      <c r="AF33" s="551">
        <f>IF('Data Entry'!$B$73="Yes",IF(AF3&lt;'Data Entry'!$B$13,'Data Entry'!$B$59*VLOOKUP(Cashflow!AF3+1,'Cost Data'!$A$67:$E$166,2,FALSE)+'Data Entry'!$B$60*VLOOKUP(Cashflow!AF3+1,'Cost Data'!$A$67:$E$166,3,FALSE)+'Data Entry'!$B$61*VLOOKUP(Cashflow!AF3+1,'Cost Data'!$A$67:$E$166,4,FALSE)+SUM('Data Entry'!$B$62,'Data Entry'!$B$63,'Data Entry'!$B$65,'Data Entry'!$B$66,'Data Entry'!$B$67)*'Cost Data'!$C$46,0),0)</f>
        <v>0</v>
      </c>
      <c r="AG33" s="551">
        <f>IF('Data Entry'!$B$73="Yes",IF(AG3&lt;'Data Entry'!$B$13,'Data Entry'!$B$59*VLOOKUP(Cashflow!AG3+1,'Cost Data'!$A$67:$E$166,2,FALSE)+'Data Entry'!$B$60*VLOOKUP(Cashflow!AG3+1,'Cost Data'!$A$67:$E$166,3,FALSE)+'Data Entry'!$B$61*VLOOKUP(Cashflow!AG3+1,'Cost Data'!$A$67:$E$166,4,FALSE)+SUM('Data Entry'!$B$62,'Data Entry'!$B$63,'Data Entry'!$B$65,'Data Entry'!$B$66,'Data Entry'!$B$67)*'Cost Data'!$C$46,0),0)</f>
        <v>0</v>
      </c>
      <c r="AH33" s="551">
        <f>IF('Data Entry'!$B$73="Yes",IF(AH3&lt;'Data Entry'!$B$13,'Data Entry'!$B$59*VLOOKUP(Cashflow!AH3+1,'Cost Data'!$A$67:$E$166,2,FALSE)+'Data Entry'!$B$60*VLOOKUP(Cashflow!AH3+1,'Cost Data'!$A$67:$E$166,3,FALSE)+'Data Entry'!$B$61*VLOOKUP(Cashflow!AH3+1,'Cost Data'!$A$67:$E$166,4,FALSE)+SUM('Data Entry'!$B$62,'Data Entry'!$B$63,'Data Entry'!$B$65,'Data Entry'!$B$66,'Data Entry'!$B$67)*'Cost Data'!$C$46,0),0)</f>
        <v>0</v>
      </c>
      <c r="AI33" s="551">
        <f>IF('Data Entry'!$B$73="Yes",IF(AI3&lt;'Data Entry'!$B$13,'Data Entry'!$B$59*VLOOKUP(Cashflow!AI3+1,'Cost Data'!$A$67:$E$166,2,FALSE)+'Data Entry'!$B$60*VLOOKUP(Cashflow!AI3+1,'Cost Data'!$A$67:$E$166,3,FALSE)+'Data Entry'!$B$61*VLOOKUP(Cashflow!AI3+1,'Cost Data'!$A$67:$E$166,4,FALSE)+SUM('Data Entry'!$B$62,'Data Entry'!$B$63,'Data Entry'!$B$65,'Data Entry'!$B$66,'Data Entry'!$B$67)*'Cost Data'!$C$46,0),0)</f>
        <v>0</v>
      </c>
      <c r="AJ33" s="551">
        <f>IF('Data Entry'!$B$73="Yes",IF(AJ3&lt;'Data Entry'!$B$13,'Data Entry'!$B$59*VLOOKUP(Cashflow!AJ3+1,'Cost Data'!$A$67:$E$166,2,FALSE)+'Data Entry'!$B$60*VLOOKUP(Cashflow!AJ3+1,'Cost Data'!$A$67:$E$166,3,FALSE)+'Data Entry'!$B$61*VLOOKUP(Cashflow!AJ3+1,'Cost Data'!$A$67:$E$166,4,FALSE)+SUM('Data Entry'!$B$62,'Data Entry'!$B$63,'Data Entry'!$B$65,'Data Entry'!$B$66,'Data Entry'!$B$67)*'Cost Data'!$C$46,0),0)</f>
        <v>0</v>
      </c>
      <c r="AK33" s="551">
        <f>IF('Data Entry'!$B$73="Yes",IF(AK3&lt;'Data Entry'!$B$13,'Data Entry'!$B$59*VLOOKUP(Cashflow!AK3+1,'Cost Data'!$A$67:$E$166,2,FALSE)+'Data Entry'!$B$60*VLOOKUP(Cashflow!AK3+1,'Cost Data'!$A$67:$E$166,3,FALSE)+'Data Entry'!$B$61*VLOOKUP(Cashflow!AK3+1,'Cost Data'!$A$67:$E$166,4,FALSE)+SUM('Data Entry'!$B$62,'Data Entry'!$B$63,'Data Entry'!$B$65,'Data Entry'!$B$66,'Data Entry'!$B$67)*'Cost Data'!$C$46,0),0)</f>
        <v>0</v>
      </c>
      <c r="AL33" s="551">
        <f>IF('Data Entry'!$B$73="Yes",IF(AL3&lt;'Data Entry'!$B$13,'Data Entry'!$B$59*VLOOKUP(Cashflow!AL3+1,'Cost Data'!$A$67:$E$166,2,FALSE)+'Data Entry'!$B$60*VLOOKUP(Cashflow!AL3+1,'Cost Data'!$A$67:$E$166,3,FALSE)+'Data Entry'!$B$61*VLOOKUP(Cashflow!AL3+1,'Cost Data'!$A$67:$E$166,4,FALSE)+SUM('Data Entry'!$B$62,'Data Entry'!$B$63,'Data Entry'!$B$65,'Data Entry'!$B$66,'Data Entry'!$B$67)*'Cost Data'!$C$46,0),0)</f>
        <v>0</v>
      </c>
      <c r="AM33" s="551">
        <f>IF('Data Entry'!$B$73="Yes",IF(AM3&lt;'Data Entry'!$B$13,'Data Entry'!$B$59*VLOOKUP(Cashflow!AM3+1,'Cost Data'!$A$67:$E$166,2,FALSE)+'Data Entry'!$B$60*VLOOKUP(Cashflow!AM3+1,'Cost Data'!$A$67:$E$166,3,FALSE)+'Data Entry'!$B$61*VLOOKUP(Cashflow!AM3+1,'Cost Data'!$A$67:$E$166,4,FALSE)+SUM('Data Entry'!$B$62,'Data Entry'!$B$63,'Data Entry'!$B$65,'Data Entry'!$B$66,'Data Entry'!$B$67)*'Cost Data'!$C$46,0),0)</f>
        <v>0</v>
      </c>
      <c r="AN33" s="551">
        <f>IF('Data Entry'!$B$73="Yes",IF(AN3&lt;'Data Entry'!$B$13,'Data Entry'!$B$59*VLOOKUP(Cashflow!AN3+1,'Cost Data'!$A$67:$E$166,2,FALSE)+'Data Entry'!$B$60*VLOOKUP(Cashflow!AN3+1,'Cost Data'!$A$67:$E$166,3,FALSE)+'Data Entry'!$B$61*VLOOKUP(Cashflow!AN3+1,'Cost Data'!$A$67:$E$166,4,FALSE)+SUM('Data Entry'!$B$62,'Data Entry'!$B$63,'Data Entry'!$B$65,'Data Entry'!$B$66,'Data Entry'!$B$67)*'Cost Data'!$C$46,0),0)</f>
        <v>0</v>
      </c>
      <c r="AO33" s="555">
        <f>IF('Data Entry'!$B$73="Yes",IF(AO3&lt;'Data Entry'!$B$13,'Data Entry'!$B$59*VLOOKUP(Cashflow!AO3+1,'Cost Data'!$A$67:$E$166,2,FALSE)+'Data Entry'!$B$60*VLOOKUP(Cashflow!AO3+1,'Cost Data'!$A$67:$E$166,3,FALSE)+'Data Entry'!$B$61*VLOOKUP(Cashflow!AO3+1,'Cost Data'!$A$67:$E$166,4,FALSE)+SUM('Data Entry'!$B$62,'Data Entry'!$B$63,'Data Entry'!$B$65,'Data Entry'!$B$66,'Data Entry'!$B$67)*'Cost Data'!$C$46,0),0)</f>
        <v>0</v>
      </c>
      <c r="AP33" s="551">
        <f>IF('Data Entry'!$B$73="Yes",IF(AP3&lt;'Data Entry'!$B$13,'Data Entry'!$B$59*VLOOKUP(Cashflow!AP3+1,'Cost Data'!$A$67:$E$166,2,FALSE)+'Data Entry'!$B$60*VLOOKUP(Cashflow!AP3+1,'Cost Data'!$A$67:$E$166,3,FALSE)+'Data Entry'!$B$61*VLOOKUP(Cashflow!AP3+1,'Cost Data'!$A$67:$E$166,4,FALSE)+SUM('Data Entry'!$B$62,'Data Entry'!$B$63,'Data Entry'!$B$65,'Data Entry'!$B$66,'Data Entry'!$B$67)*'Cost Data'!$C$46,0),0)</f>
        <v>0</v>
      </c>
      <c r="AQ33" s="551">
        <f>IF('Data Entry'!$B$73="Yes",IF(AQ3&lt;'Data Entry'!$B$13,'Data Entry'!$B$59*VLOOKUP(Cashflow!AQ3+1,'Cost Data'!$A$67:$E$166,2,FALSE)+'Data Entry'!$B$60*VLOOKUP(Cashflow!AQ3+1,'Cost Data'!$A$67:$E$166,3,FALSE)+'Data Entry'!$B$61*VLOOKUP(Cashflow!AQ3+1,'Cost Data'!$A$67:$E$166,4,FALSE)+SUM('Data Entry'!$B$62,'Data Entry'!$B$63,'Data Entry'!$B$65,'Data Entry'!$B$66,'Data Entry'!$B$67)*'Cost Data'!$C$46,0),0)</f>
        <v>0</v>
      </c>
      <c r="AR33" s="551">
        <f>IF('Data Entry'!$B$73="Yes",IF(AR3&lt;'Data Entry'!$B$13,'Data Entry'!$B$59*VLOOKUP(Cashflow!AR3+1,'Cost Data'!$A$67:$E$166,2,FALSE)+'Data Entry'!$B$60*VLOOKUP(Cashflow!AR3+1,'Cost Data'!$A$67:$E$166,3,FALSE)+'Data Entry'!$B$61*VLOOKUP(Cashflow!AR3+1,'Cost Data'!$A$67:$E$166,4,FALSE)+SUM('Data Entry'!$B$62,'Data Entry'!$B$63,'Data Entry'!$B$65,'Data Entry'!$B$66,'Data Entry'!$B$67)*'Cost Data'!$C$46,0),0)</f>
        <v>0</v>
      </c>
      <c r="AS33" s="551">
        <f>IF('Data Entry'!$B$73="Yes",IF(AS3&lt;'Data Entry'!$B$13,'Data Entry'!$B$59*VLOOKUP(Cashflow!AS3+1,'Cost Data'!$A$67:$E$166,2,FALSE)+'Data Entry'!$B$60*VLOOKUP(Cashflow!AS3+1,'Cost Data'!$A$67:$E$166,3,FALSE)+'Data Entry'!$B$61*VLOOKUP(Cashflow!AS3+1,'Cost Data'!$A$67:$E$166,4,FALSE)+SUM('Data Entry'!$B$62,'Data Entry'!$B$63,'Data Entry'!$B$65,'Data Entry'!$B$66,'Data Entry'!$B$67)*'Cost Data'!$C$46,0),0)</f>
        <v>0</v>
      </c>
      <c r="AT33" s="551">
        <f>IF('Data Entry'!$B$73="Yes",IF(AT3&lt;'Data Entry'!$B$13,'Data Entry'!$B$59*VLOOKUP(Cashflow!AT3+1,'Cost Data'!$A$67:$E$166,2,FALSE)+'Data Entry'!$B$60*VLOOKUP(Cashflow!AT3+1,'Cost Data'!$A$67:$E$166,3,FALSE)+'Data Entry'!$B$61*VLOOKUP(Cashflow!AT3+1,'Cost Data'!$A$67:$E$166,4,FALSE)+SUM('Data Entry'!$B$62,'Data Entry'!$B$63,'Data Entry'!$B$65,'Data Entry'!$B$66,'Data Entry'!$B$67)*'Cost Data'!$C$46,0),0)</f>
        <v>0</v>
      </c>
      <c r="AU33" s="551">
        <f>IF('Data Entry'!$B$73="Yes",IF(AU3&lt;'Data Entry'!$B$13,'Data Entry'!$B$59*VLOOKUP(Cashflow!AU3+1,'Cost Data'!$A$67:$E$166,2,FALSE)+'Data Entry'!$B$60*VLOOKUP(Cashflow!AU3+1,'Cost Data'!$A$67:$E$166,3,FALSE)+'Data Entry'!$B$61*VLOOKUP(Cashflow!AU3+1,'Cost Data'!$A$67:$E$166,4,FALSE)+SUM('Data Entry'!$B$62,'Data Entry'!$B$63,'Data Entry'!$B$65,'Data Entry'!$B$66,'Data Entry'!$B$67)*'Cost Data'!$C$46,0),0)</f>
        <v>0</v>
      </c>
      <c r="AV33" s="551">
        <f>IF('Data Entry'!$B$73="Yes",IF(AV3&lt;'Data Entry'!$B$13,'Data Entry'!$B$59*VLOOKUP(Cashflow!AV3+1,'Cost Data'!$A$67:$E$166,2,FALSE)+'Data Entry'!$B$60*VLOOKUP(Cashflow!AV3+1,'Cost Data'!$A$67:$E$166,3,FALSE)+'Data Entry'!$B$61*VLOOKUP(Cashflow!AV3+1,'Cost Data'!$A$67:$E$166,4,FALSE)+SUM('Data Entry'!$B$62,'Data Entry'!$B$63,'Data Entry'!$B$65,'Data Entry'!$B$66,'Data Entry'!$B$67)*'Cost Data'!$C$46,0),0)</f>
        <v>0</v>
      </c>
      <c r="AW33" s="551">
        <f>IF('Data Entry'!$B$73="Yes",IF(AW3&lt;'Data Entry'!$B$13,'Data Entry'!$B$59*VLOOKUP(Cashflow!AW3+1,'Cost Data'!$A$67:$E$166,2,FALSE)+'Data Entry'!$B$60*VLOOKUP(Cashflow!AW3+1,'Cost Data'!$A$67:$E$166,3,FALSE)+'Data Entry'!$B$61*VLOOKUP(Cashflow!AW3+1,'Cost Data'!$A$67:$E$166,4,FALSE)+SUM('Data Entry'!$B$62,'Data Entry'!$B$63,'Data Entry'!$B$65,'Data Entry'!$B$66,'Data Entry'!$B$67)*'Cost Data'!$C$46,0),0)</f>
        <v>0</v>
      </c>
      <c r="AX33" s="551">
        <f>IF('Data Entry'!$B$73="Yes",IF(AX3&lt;'Data Entry'!$B$13,'Data Entry'!$B$59*VLOOKUP(Cashflow!AX3+1,'Cost Data'!$A$67:$E$166,2,FALSE)+'Data Entry'!$B$60*VLOOKUP(Cashflow!AX3+1,'Cost Data'!$A$67:$E$166,3,FALSE)+'Data Entry'!$B$61*VLOOKUP(Cashflow!AX3+1,'Cost Data'!$A$67:$E$166,4,FALSE)+SUM('Data Entry'!$B$62,'Data Entry'!$B$63,'Data Entry'!$B$65,'Data Entry'!$B$66,'Data Entry'!$B$67)*'Cost Data'!$C$46,0),0)</f>
        <v>0</v>
      </c>
      <c r="AY33" s="551">
        <f>IF('Data Entry'!$B$73="Yes",IF(AY3&lt;'Data Entry'!$B$13,'Data Entry'!$B$59*VLOOKUP(Cashflow!AY3+1,'Cost Data'!$A$67:$E$166,2,FALSE)+'Data Entry'!$B$60*VLOOKUP(Cashflow!AY3+1,'Cost Data'!$A$67:$E$166,3,FALSE)+'Data Entry'!$B$61*VLOOKUP(Cashflow!AY3+1,'Cost Data'!$A$67:$E$166,4,FALSE)+SUM('Data Entry'!$B$62,'Data Entry'!$B$63,'Data Entry'!$B$65,'Data Entry'!$B$66,'Data Entry'!$B$67)*'Cost Data'!$C$46,0),0)</f>
        <v>0</v>
      </c>
      <c r="AZ33" s="551">
        <f>IF('Data Entry'!$B$73="Yes",IF(AZ3&lt;'Data Entry'!$B$13,'Data Entry'!$B$59*VLOOKUP(Cashflow!AZ3+1,'Cost Data'!$A$67:$E$166,2,FALSE)+'Data Entry'!$B$60*VLOOKUP(Cashflow!AZ3+1,'Cost Data'!$A$67:$E$166,3,FALSE)+'Data Entry'!$B$61*VLOOKUP(Cashflow!AZ3+1,'Cost Data'!$A$67:$E$166,4,FALSE)+SUM('Data Entry'!$B$62,'Data Entry'!$B$63,'Data Entry'!$B$65,'Data Entry'!$B$66,'Data Entry'!$B$67)*'Cost Data'!$C$46,0),0)</f>
        <v>0</v>
      </c>
      <c r="BA33" s="551">
        <f>IF('Data Entry'!$B$73="Yes",IF(BA3&lt;'Data Entry'!$B$13,'Data Entry'!$B$59*VLOOKUP(Cashflow!BA3+1,'Cost Data'!$A$67:$E$166,2,FALSE)+'Data Entry'!$B$60*VLOOKUP(Cashflow!BA3+1,'Cost Data'!$A$67:$E$166,3,FALSE)+'Data Entry'!$B$61*VLOOKUP(Cashflow!BA3+1,'Cost Data'!$A$67:$E$166,4,FALSE)+SUM('Data Entry'!$B$62,'Data Entry'!$B$63,'Data Entry'!$B$65,'Data Entry'!$B$66,'Data Entry'!$B$67)*'Cost Data'!$C$46,0),0)</f>
        <v>0</v>
      </c>
      <c r="BB33" s="551">
        <f>IF('Data Entry'!$B$73="Yes",IF(BB3&lt;'Data Entry'!$B$13,'Data Entry'!$B$59*VLOOKUP(Cashflow!BB3+1,'Cost Data'!$A$67:$E$166,2,FALSE)+'Data Entry'!$B$60*VLOOKUP(Cashflow!BB3+1,'Cost Data'!$A$67:$E$166,3,FALSE)+'Data Entry'!$B$61*VLOOKUP(Cashflow!BB3+1,'Cost Data'!$A$67:$E$166,4,FALSE)+SUM('Data Entry'!$B$62,'Data Entry'!$B$63,'Data Entry'!$B$65,'Data Entry'!$B$66,'Data Entry'!$B$67)*'Cost Data'!$C$46,0),0)</f>
        <v>0</v>
      </c>
      <c r="BC33" s="551">
        <f>IF('Data Entry'!$B$73="Yes",IF(BC3&lt;'Data Entry'!$B$13,'Data Entry'!$B$59*VLOOKUP(Cashflow!BC3+1,'Cost Data'!$A$67:$E$166,2,FALSE)+'Data Entry'!$B$60*VLOOKUP(Cashflow!BC3+1,'Cost Data'!$A$67:$E$166,3,FALSE)+'Data Entry'!$B$61*VLOOKUP(Cashflow!BC3+1,'Cost Data'!$A$67:$E$166,4,FALSE)+SUM('Data Entry'!$B$62,'Data Entry'!$B$63,'Data Entry'!$B$65,'Data Entry'!$B$66,'Data Entry'!$B$67)*'Cost Data'!$C$46,0),0)</f>
        <v>0</v>
      </c>
      <c r="BD33" s="551">
        <f>IF('Data Entry'!$B$73="Yes",IF(BD3&lt;'Data Entry'!$B$13,'Data Entry'!$B$59*VLOOKUP(Cashflow!BD3+1,'Cost Data'!$A$67:$E$166,2,FALSE)+'Data Entry'!$B$60*VLOOKUP(Cashflow!BD3+1,'Cost Data'!$A$67:$E$166,3,FALSE)+'Data Entry'!$B$61*VLOOKUP(Cashflow!BD3+1,'Cost Data'!$A$67:$E$166,4,FALSE)+SUM('Data Entry'!$B$62,'Data Entry'!$B$63,'Data Entry'!$B$65,'Data Entry'!$B$66,'Data Entry'!$B$67)*'Cost Data'!$C$46,0),0)</f>
        <v>0</v>
      </c>
      <c r="BE33" s="551">
        <f>IF('Data Entry'!$B$73="Yes",IF(BE3&lt;'Data Entry'!$B$13,'Data Entry'!$B$59*VLOOKUP(Cashflow!BE3+1,'Cost Data'!$A$67:$E$166,2,FALSE)+'Data Entry'!$B$60*VLOOKUP(Cashflow!BE3+1,'Cost Data'!$A$67:$E$166,3,FALSE)+'Data Entry'!$B$61*VLOOKUP(Cashflow!BE3+1,'Cost Data'!$A$67:$E$166,4,FALSE)+SUM('Data Entry'!$B$62,'Data Entry'!$B$63,'Data Entry'!$B$65,'Data Entry'!$B$66,'Data Entry'!$B$67)*'Cost Data'!$C$46,0),0)</f>
        <v>0</v>
      </c>
      <c r="BF33" s="551">
        <f>IF('Data Entry'!$B$73="Yes",IF(BF3&lt;'Data Entry'!$B$13,'Data Entry'!$B$59*VLOOKUP(Cashflow!BF3+1,'Cost Data'!$A$67:$E$166,2,FALSE)+'Data Entry'!$B$60*VLOOKUP(Cashflow!BF3+1,'Cost Data'!$A$67:$E$166,3,FALSE)+'Data Entry'!$B$61*VLOOKUP(Cashflow!BF3+1,'Cost Data'!$A$67:$E$166,4,FALSE)+SUM('Data Entry'!$B$62,'Data Entry'!$B$63,'Data Entry'!$B$65,'Data Entry'!$B$66,'Data Entry'!$B$67)*'Cost Data'!$C$46,0),0)</f>
        <v>0</v>
      </c>
      <c r="BG33" s="551">
        <f>IF('Data Entry'!$B$73="Yes",IF(BG3&lt;'Data Entry'!$B$13,'Data Entry'!$B$59*VLOOKUP(Cashflow!BG3+1,'Cost Data'!$A$67:$E$166,2,FALSE)+'Data Entry'!$B$60*VLOOKUP(Cashflow!BG3+1,'Cost Data'!$A$67:$E$166,3,FALSE)+'Data Entry'!$B$61*VLOOKUP(Cashflow!BG3+1,'Cost Data'!$A$67:$E$166,4,FALSE)+SUM('Data Entry'!$B$62,'Data Entry'!$B$63,'Data Entry'!$B$65,'Data Entry'!$B$66,'Data Entry'!$B$67)*'Cost Data'!$C$46,0),0)</f>
        <v>0</v>
      </c>
      <c r="BH33" s="551">
        <f>IF('Data Entry'!$B$73="Yes",IF(BH3&lt;'Data Entry'!$B$13,'Data Entry'!$B$59*VLOOKUP(Cashflow!BH3+1,'Cost Data'!$A$67:$E$166,2,FALSE)+'Data Entry'!$B$60*VLOOKUP(Cashflow!BH3+1,'Cost Data'!$A$67:$E$166,3,FALSE)+'Data Entry'!$B$61*VLOOKUP(Cashflow!BH3+1,'Cost Data'!$A$67:$E$166,4,FALSE)+SUM('Data Entry'!$B$62,'Data Entry'!$B$63,'Data Entry'!$B$65,'Data Entry'!$B$66,'Data Entry'!$B$67)*'Cost Data'!$C$46,0),0)</f>
        <v>0</v>
      </c>
      <c r="BI33" s="551">
        <f>IF('Data Entry'!$B$73="Yes",IF(BI3&lt;'Data Entry'!$B$13,'Data Entry'!$B$59*VLOOKUP(Cashflow!BI3+1,'Cost Data'!$A$67:$E$166,2,FALSE)+'Data Entry'!$B$60*VLOOKUP(Cashflow!BI3+1,'Cost Data'!$A$67:$E$166,3,FALSE)+'Data Entry'!$B$61*VLOOKUP(Cashflow!BI3+1,'Cost Data'!$A$67:$E$166,4,FALSE)+SUM('Data Entry'!$B$62,'Data Entry'!$B$63,'Data Entry'!$B$65,'Data Entry'!$B$66,'Data Entry'!$B$67)*'Cost Data'!$C$46,0),0)</f>
        <v>0</v>
      </c>
      <c r="BJ33" s="551">
        <f>IF('Data Entry'!$B$73="Yes",IF(BJ3&lt;'Data Entry'!$B$13,'Data Entry'!$B$59*VLOOKUP(Cashflow!BJ3+1,'Cost Data'!$A$67:$E$166,2,FALSE)+'Data Entry'!$B$60*VLOOKUP(Cashflow!BJ3+1,'Cost Data'!$A$67:$E$166,3,FALSE)+'Data Entry'!$B$61*VLOOKUP(Cashflow!BJ3+1,'Cost Data'!$A$67:$E$166,4,FALSE)+SUM('Data Entry'!$B$62,'Data Entry'!$B$63,'Data Entry'!$B$65,'Data Entry'!$B$66,'Data Entry'!$B$67)*'Cost Data'!$C$46,0),0)</f>
        <v>0</v>
      </c>
      <c r="BK33" s="555">
        <f>IF('Data Entry'!$B$73="Yes",IF(BK3&lt;'Data Entry'!$B$13,'Data Entry'!$B$59*VLOOKUP(Cashflow!BK3+1,'Cost Data'!$A$67:$E$166,2,FALSE)+'Data Entry'!$B$60*VLOOKUP(Cashflow!BK3+1,'Cost Data'!$A$67:$E$166,3,FALSE)+'Data Entry'!$B$61*VLOOKUP(Cashflow!BK3+1,'Cost Data'!$A$67:$E$166,4,FALSE)+SUM('Data Entry'!$B$62,'Data Entry'!$B$63,'Data Entry'!$B$65,'Data Entry'!$B$66,'Data Entry'!$B$67)*'Cost Data'!$C$46,0),0)</f>
        <v>0</v>
      </c>
      <c r="BL33" s="551">
        <f>IF('Data Entry'!$B$73="Yes",IF(BL3&lt;'Data Entry'!$B$13,'Data Entry'!$B$59*VLOOKUP(Cashflow!BL3+1,'Cost Data'!$A$67:$E$166,2,FALSE)+'Data Entry'!$B$60*VLOOKUP(Cashflow!BL3+1,'Cost Data'!$A$67:$E$166,3,FALSE)+'Data Entry'!$B$61*VLOOKUP(Cashflow!BL3+1,'Cost Data'!$A$67:$E$166,4,FALSE)+SUM('Data Entry'!$B$62,'Data Entry'!$B$63,'Data Entry'!$B$65,'Data Entry'!$B$66,'Data Entry'!$B$67)*'Cost Data'!$C$46,0),0)</f>
        <v>0</v>
      </c>
      <c r="BM33" s="551">
        <f>IF('Data Entry'!$B$73="Yes",IF(BM3&lt;'Data Entry'!$B$13,'Data Entry'!$B$59*VLOOKUP(Cashflow!BM3+1,'Cost Data'!$A$67:$E$166,2,FALSE)+'Data Entry'!$B$60*VLOOKUP(Cashflow!BM3+1,'Cost Data'!$A$67:$E$166,3,FALSE)+'Data Entry'!$B$61*VLOOKUP(Cashflow!BM3+1,'Cost Data'!$A$67:$E$166,4,FALSE)+SUM('Data Entry'!$B$62,'Data Entry'!$B$63,'Data Entry'!$B$65,'Data Entry'!$B$66,'Data Entry'!$B$67)*'Cost Data'!$C$46,0),0)</f>
        <v>0</v>
      </c>
      <c r="BN33" s="551">
        <f>IF('Data Entry'!$B$73="Yes",IF(BN3&lt;'Data Entry'!$B$13,'Data Entry'!$B$59*VLOOKUP(Cashflow!BN3+1,'Cost Data'!$A$67:$E$166,2,FALSE)+'Data Entry'!$B$60*VLOOKUP(Cashflow!BN3+1,'Cost Data'!$A$67:$E$166,3,FALSE)+'Data Entry'!$B$61*VLOOKUP(Cashflow!BN3+1,'Cost Data'!$A$67:$E$166,4,FALSE)+SUM('Data Entry'!$B$62,'Data Entry'!$B$63,'Data Entry'!$B$65,'Data Entry'!$B$66,'Data Entry'!$B$67)*'Cost Data'!$C$46,0),0)</f>
        <v>0</v>
      </c>
      <c r="BO33" s="551">
        <f>IF('Data Entry'!$B$73="Yes",IF(BO3&lt;'Data Entry'!$B$13,'Data Entry'!$B$59*VLOOKUP(Cashflow!BO3+1,'Cost Data'!$A$67:$E$166,2,FALSE)+'Data Entry'!$B$60*VLOOKUP(Cashflow!BO3+1,'Cost Data'!$A$67:$E$166,3,FALSE)+'Data Entry'!$B$61*VLOOKUP(Cashflow!BO3+1,'Cost Data'!$A$67:$E$166,4,FALSE)+SUM('Data Entry'!$B$62,'Data Entry'!$B$63,'Data Entry'!$B$65,'Data Entry'!$B$66,'Data Entry'!$B$67)*'Cost Data'!$C$46,0),0)</f>
        <v>0</v>
      </c>
      <c r="BP33" s="551">
        <f>IF('Data Entry'!$B$73="Yes",IF(BP3&lt;'Data Entry'!$B$13,'Data Entry'!$B$59*VLOOKUP(Cashflow!BP3+1,'Cost Data'!$A$67:$E$166,2,FALSE)+'Data Entry'!$B$60*VLOOKUP(Cashflow!BP3+1,'Cost Data'!$A$67:$E$166,3,FALSE)+'Data Entry'!$B$61*VLOOKUP(Cashflow!BP3+1,'Cost Data'!$A$67:$E$166,4,FALSE)+SUM('Data Entry'!$B$62,'Data Entry'!$B$63,'Data Entry'!$B$65,'Data Entry'!$B$66,'Data Entry'!$B$67)*'Cost Data'!$C$46,0),0)</f>
        <v>0</v>
      </c>
      <c r="BQ33" s="551">
        <f>IF('Data Entry'!$B$73="Yes",IF(BQ3&lt;'Data Entry'!$B$13,'Data Entry'!$B$59*VLOOKUP(Cashflow!BQ3+1,'Cost Data'!$A$67:$E$166,2,FALSE)+'Data Entry'!$B$60*VLOOKUP(Cashflow!BQ3+1,'Cost Data'!$A$67:$E$166,3,FALSE)+'Data Entry'!$B$61*VLOOKUP(Cashflow!BQ3+1,'Cost Data'!$A$67:$E$166,4,FALSE)+SUM('Data Entry'!$B$62,'Data Entry'!$B$63,'Data Entry'!$B$65,'Data Entry'!$B$66,'Data Entry'!$B$67)*'Cost Data'!$C$46,0),0)</f>
        <v>0</v>
      </c>
      <c r="BR33" s="551">
        <f>IF('Data Entry'!$B$73="Yes",IF(BR3&lt;'Data Entry'!$B$13,'Data Entry'!$B$59*VLOOKUP(Cashflow!BR3+1,'Cost Data'!$A$67:$E$166,2,FALSE)+'Data Entry'!$B$60*VLOOKUP(Cashflow!BR3+1,'Cost Data'!$A$67:$E$166,3,FALSE)+'Data Entry'!$B$61*VLOOKUP(Cashflow!BR3+1,'Cost Data'!$A$67:$E$166,4,FALSE)+SUM('Data Entry'!$B$62,'Data Entry'!$B$63,'Data Entry'!$B$65,'Data Entry'!$B$66,'Data Entry'!$B$67)*'Cost Data'!$C$46,0),0)</f>
        <v>0</v>
      </c>
      <c r="BS33" s="551">
        <f>IF('Data Entry'!$B$73="Yes",IF(BS3&lt;'Data Entry'!$B$13,'Data Entry'!$B$59*VLOOKUP(Cashflow!BS3+1,'Cost Data'!$A$67:$E$166,2,FALSE)+'Data Entry'!$B$60*VLOOKUP(Cashflow!BS3+1,'Cost Data'!$A$67:$E$166,3,FALSE)+'Data Entry'!$B$61*VLOOKUP(Cashflow!BS3+1,'Cost Data'!$A$67:$E$166,4,FALSE)+SUM('Data Entry'!$B$62,'Data Entry'!$B$63,'Data Entry'!$B$65,'Data Entry'!$B$66,'Data Entry'!$B$67)*'Cost Data'!$C$46,0),0)</f>
        <v>0</v>
      </c>
      <c r="BT33" s="551">
        <f>IF('Data Entry'!$B$73="Yes",IF(BT3&lt;'Data Entry'!$B$13,'Data Entry'!$B$59*VLOOKUP(Cashflow!BT3+1,'Cost Data'!$A$67:$E$166,2,FALSE)+'Data Entry'!$B$60*VLOOKUP(Cashflow!BT3+1,'Cost Data'!$A$67:$E$166,3,FALSE)+'Data Entry'!$B$61*VLOOKUP(Cashflow!BT3+1,'Cost Data'!$A$67:$E$166,4,FALSE)+SUM('Data Entry'!$B$62,'Data Entry'!$B$63,'Data Entry'!$B$65,'Data Entry'!$B$66,'Data Entry'!$B$67)*'Cost Data'!$C$46,0),0)</f>
        <v>0</v>
      </c>
      <c r="BU33" s="551">
        <f>IF('Data Entry'!$B$73="Yes",IF(BU3&lt;'Data Entry'!$B$13,'Data Entry'!$B$59*VLOOKUP(Cashflow!BU3+1,'Cost Data'!$A$67:$E$166,2,FALSE)+'Data Entry'!$B$60*VLOOKUP(Cashflow!BU3+1,'Cost Data'!$A$67:$E$166,3,FALSE)+'Data Entry'!$B$61*VLOOKUP(Cashflow!BU3+1,'Cost Data'!$A$67:$E$166,4,FALSE)+SUM('Data Entry'!$B$62,'Data Entry'!$B$63,'Data Entry'!$B$65,'Data Entry'!$B$66,'Data Entry'!$B$67)*'Cost Data'!$C$46,0),0)</f>
        <v>0</v>
      </c>
      <c r="BV33" s="551">
        <f>IF('Data Entry'!$B$73="Yes",IF(BV3&lt;'Data Entry'!$B$13,'Data Entry'!$B$59*VLOOKUP(Cashflow!BV3+1,'Cost Data'!$A$67:$E$166,2,FALSE)+'Data Entry'!$B$60*VLOOKUP(Cashflow!BV3+1,'Cost Data'!$A$67:$E$166,3,FALSE)+'Data Entry'!$B$61*VLOOKUP(Cashflow!BV3+1,'Cost Data'!$A$67:$E$166,4,FALSE)+SUM('Data Entry'!$B$62,'Data Entry'!$B$63,'Data Entry'!$B$65,'Data Entry'!$B$66,'Data Entry'!$B$67)*'Cost Data'!$C$46,0),0)</f>
        <v>0</v>
      </c>
      <c r="BW33" s="551">
        <f>IF('Data Entry'!$B$73="Yes",IF(BW3&lt;'Data Entry'!$B$13,'Data Entry'!$B$59*VLOOKUP(Cashflow!BW3+1,'Cost Data'!$A$67:$E$166,2,FALSE)+'Data Entry'!$B$60*VLOOKUP(Cashflow!BW3+1,'Cost Data'!$A$67:$E$166,3,FALSE)+'Data Entry'!$B$61*VLOOKUP(Cashflow!BW3+1,'Cost Data'!$A$67:$E$166,4,FALSE)+SUM('Data Entry'!$B$62,'Data Entry'!$B$63,'Data Entry'!$B$65,'Data Entry'!$B$66,'Data Entry'!$B$67)*'Cost Data'!$C$46,0),0)</f>
        <v>0</v>
      </c>
      <c r="BX33" s="551">
        <f>IF('Data Entry'!$B$73="Yes",IF(BX3&lt;'Data Entry'!$B$13,'Data Entry'!$B$59*VLOOKUP(Cashflow!BX3+1,'Cost Data'!$A$67:$E$166,2,FALSE)+'Data Entry'!$B$60*VLOOKUP(Cashflow!BX3+1,'Cost Data'!$A$67:$E$166,3,FALSE)+'Data Entry'!$B$61*VLOOKUP(Cashflow!BX3+1,'Cost Data'!$A$67:$E$166,4,FALSE)+SUM('Data Entry'!$B$62,'Data Entry'!$B$63,'Data Entry'!$B$65,'Data Entry'!$B$66,'Data Entry'!$B$67)*'Cost Data'!$C$46,0),0)</f>
        <v>0</v>
      </c>
      <c r="BY33" s="551">
        <f>IF('Data Entry'!$B$73="Yes",IF(BY3&lt;'Data Entry'!$B$13,'Data Entry'!$B$59*VLOOKUP(Cashflow!BY3+1,'Cost Data'!$A$67:$E$166,2,FALSE)+'Data Entry'!$B$60*VLOOKUP(Cashflow!BY3+1,'Cost Data'!$A$67:$E$166,3,FALSE)+'Data Entry'!$B$61*VLOOKUP(Cashflow!BY3+1,'Cost Data'!$A$67:$E$166,4,FALSE)+SUM('Data Entry'!$B$62,'Data Entry'!$B$63,'Data Entry'!$B$65,'Data Entry'!$B$66,'Data Entry'!$B$67)*'Cost Data'!$C$46,0),0)</f>
        <v>0</v>
      </c>
      <c r="BZ33" s="551">
        <f>IF('Data Entry'!$B$73="Yes",IF(BZ3&lt;'Data Entry'!$B$13,'Data Entry'!$B$59*VLOOKUP(Cashflow!BZ3+1,'Cost Data'!$A$67:$E$166,2,FALSE)+'Data Entry'!$B$60*VLOOKUP(Cashflow!BZ3+1,'Cost Data'!$A$67:$E$166,3,FALSE)+'Data Entry'!$B$61*VLOOKUP(Cashflow!BZ3+1,'Cost Data'!$A$67:$E$166,4,FALSE)+SUM('Data Entry'!$B$62,'Data Entry'!$B$63,'Data Entry'!$B$65,'Data Entry'!$B$66,'Data Entry'!$B$67)*'Cost Data'!$C$46,0),0)</f>
        <v>0</v>
      </c>
      <c r="CA33" s="555">
        <f>IF('Data Entry'!$B$73="Yes",IF(CA3&lt;'Data Entry'!$B$13,'Data Entry'!$B$59*VLOOKUP(Cashflow!CA3+1,'Cost Data'!$A$67:$E$166,2,FALSE)+'Data Entry'!$B$60*VLOOKUP(Cashflow!CA3+1,'Cost Data'!$A$67:$E$166,3,FALSE)+'Data Entry'!$B$61*VLOOKUP(Cashflow!CA3+1,'Cost Data'!$A$67:$E$166,4,FALSE)+SUM('Data Entry'!$B$62,'Data Entry'!$B$63,'Data Entry'!$B$65,'Data Entry'!$B$66,'Data Entry'!$B$67)*'Cost Data'!$C$46,0),0)</f>
        <v>0</v>
      </c>
      <c r="CB33" s="551">
        <f>IF('Data Entry'!$B$73="Yes",IF(CB3&lt;'Data Entry'!$B$13,'Data Entry'!$B$59*VLOOKUP(Cashflow!CB3+1,'Cost Data'!$A$67:$E$166,2,FALSE)+'Data Entry'!$B$60*VLOOKUP(Cashflow!CB3+1,'Cost Data'!$A$67:$E$166,3,FALSE)+'Data Entry'!$B$61*VLOOKUP(Cashflow!CB3+1,'Cost Data'!$A$67:$E$166,4,FALSE)+SUM('Data Entry'!$B$62,'Data Entry'!$B$63,'Data Entry'!$B$65,'Data Entry'!$B$66,'Data Entry'!$B$67)*'Cost Data'!$C$46,0),0)</f>
        <v>0</v>
      </c>
      <c r="CC33" s="551">
        <f>IF('Data Entry'!$B$73="Yes",IF(CC3&lt;'Data Entry'!$B$13,'Data Entry'!$B$59*VLOOKUP(Cashflow!CC3+1,'Cost Data'!$A$67:$E$166,2,FALSE)+'Data Entry'!$B$60*VLOOKUP(Cashflow!CC3+1,'Cost Data'!$A$67:$E$166,3,FALSE)+'Data Entry'!$B$61*VLOOKUP(Cashflow!CC3+1,'Cost Data'!$A$67:$E$166,4,FALSE)+SUM('Data Entry'!$B$62,'Data Entry'!$B$63,'Data Entry'!$B$65,'Data Entry'!$B$66,'Data Entry'!$B$67)*'Cost Data'!$C$46,0),0)</f>
        <v>0</v>
      </c>
      <c r="CD33" s="551">
        <f>IF('Data Entry'!$B$73="Yes",IF(CD3&lt;'Data Entry'!$B$13,'Data Entry'!$B$59*VLOOKUP(Cashflow!CD3+1,'Cost Data'!$A$67:$E$166,2,FALSE)+'Data Entry'!$B$60*VLOOKUP(Cashflow!CD3+1,'Cost Data'!$A$67:$E$166,3,FALSE)+'Data Entry'!$B$61*VLOOKUP(Cashflow!CD3+1,'Cost Data'!$A$67:$E$166,4,FALSE)+SUM('Data Entry'!$B$62,'Data Entry'!$B$63,'Data Entry'!$B$65,'Data Entry'!$B$66,'Data Entry'!$B$67)*'Cost Data'!$C$46,0),0)</f>
        <v>0</v>
      </c>
      <c r="CE33" s="551">
        <f>IF('Data Entry'!$B$73="Yes",IF(CE3&lt;'Data Entry'!$B$13,'Data Entry'!$B$59*VLOOKUP(Cashflow!CE3+1,'Cost Data'!$A$67:$E$166,2,FALSE)+'Data Entry'!$B$60*VLOOKUP(Cashflow!CE3+1,'Cost Data'!$A$67:$E$166,3,FALSE)+'Data Entry'!$B$61*VLOOKUP(Cashflow!CE3+1,'Cost Data'!$A$67:$E$166,4,FALSE)+SUM('Data Entry'!$B$62,'Data Entry'!$B$63,'Data Entry'!$B$65,'Data Entry'!$B$66,'Data Entry'!$B$67)*'Cost Data'!$C$46,0),0)</f>
        <v>0</v>
      </c>
      <c r="CF33" s="551">
        <f>IF('Data Entry'!$B$73="Yes",IF(CF3&lt;'Data Entry'!$B$13,'Data Entry'!$B$59*VLOOKUP(Cashflow!CF3+1,'Cost Data'!$A$67:$E$166,2,FALSE)+'Data Entry'!$B$60*VLOOKUP(Cashflow!CF3+1,'Cost Data'!$A$67:$E$166,3,FALSE)+'Data Entry'!$B$61*VLOOKUP(Cashflow!CF3+1,'Cost Data'!$A$67:$E$166,4,FALSE)+SUM('Data Entry'!$B$62,'Data Entry'!$B$63,'Data Entry'!$B$65,'Data Entry'!$B$66,'Data Entry'!$B$67)*'Cost Data'!$C$46,0),0)</f>
        <v>0</v>
      </c>
      <c r="CG33" s="551">
        <f>IF('Data Entry'!$B$73="Yes",IF(CG3&lt;'Data Entry'!$B$13,'Data Entry'!$B$59*VLOOKUP(Cashflow!CG3+1,'Cost Data'!$A$67:$E$166,2,FALSE)+'Data Entry'!$B$60*VLOOKUP(Cashflow!CG3+1,'Cost Data'!$A$67:$E$166,3,FALSE)+'Data Entry'!$B$61*VLOOKUP(Cashflow!CG3+1,'Cost Data'!$A$67:$E$166,4,FALSE)+SUM('Data Entry'!$B$62,'Data Entry'!$B$63,'Data Entry'!$B$65,'Data Entry'!$B$66,'Data Entry'!$B$67)*'Cost Data'!$C$46,0),0)</f>
        <v>0</v>
      </c>
      <c r="CH33" s="551">
        <f>IF('Data Entry'!$B$73="Yes",IF(CH3&lt;'Data Entry'!$B$13,'Data Entry'!$B$59*VLOOKUP(Cashflow!CH3+1,'Cost Data'!$A$67:$E$166,2,FALSE)+'Data Entry'!$B$60*VLOOKUP(Cashflow!CH3+1,'Cost Data'!$A$67:$E$166,3,FALSE)+'Data Entry'!$B$61*VLOOKUP(Cashflow!CH3+1,'Cost Data'!$A$67:$E$166,4,FALSE)+SUM('Data Entry'!$B$62,'Data Entry'!$B$63,'Data Entry'!$B$65,'Data Entry'!$B$66,'Data Entry'!$B$67)*'Cost Data'!$C$46,0),0)</f>
        <v>0</v>
      </c>
      <c r="CI33" s="551">
        <f>IF('Data Entry'!$B$73="Yes",IF(CI3&lt;'Data Entry'!$B$13,'Data Entry'!$B$59*VLOOKUP(Cashflow!CI3+1,'Cost Data'!$A$67:$E$166,2,FALSE)+'Data Entry'!$B$60*VLOOKUP(Cashflow!CI3+1,'Cost Data'!$A$67:$E$166,3,FALSE)+'Data Entry'!$B$61*VLOOKUP(Cashflow!CI3+1,'Cost Data'!$A$67:$E$166,4,FALSE)+SUM('Data Entry'!$B$62,'Data Entry'!$B$63,'Data Entry'!$B$65,'Data Entry'!$B$66,'Data Entry'!$B$67)*'Cost Data'!$C$46,0),0)</f>
        <v>0</v>
      </c>
      <c r="CJ33" s="551">
        <f>IF('Data Entry'!$B$73="Yes",IF(CJ3&lt;'Data Entry'!$B$13,'Data Entry'!$B$59*VLOOKUP(Cashflow!CJ3+1,'Cost Data'!$A$67:$E$166,2,FALSE)+'Data Entry'!$B$60*VLOOKUP(Cashflow!CJ3+1,'Cost Data'!$A$67:$E$166,3,FALSE)+'Data Entry'!$B$61*VLOOKUP(Cashflow!CJ3+1,'Cost Data'!$A$67:$E$166,4,FALSE)+SUM('Data Entry'!$B$62,'Data Entry'!$B$63,'Data Entry'!$B$65,'Data Entry'!$B$66,'Data Entry'!$B$67)*'Cost Data'!$C$46,0),0)</f>
        <v>0</v>
      </c>
      <c r="CK33" s="551">
        <f>IF('Data Entry'!$B$73="Yes",IF(CK3&lt;'Data Entry'!$B$13,'Data Entry'!$B$59*VLOOKUP(Cashflow!CK3+1,'Cost Data'!$A$67:$E$166,2,FALSE)+'Data Entry'!$B$60*VLOOKUP(Cashflow!CK3+1,'Cost Data'!$A$67:$E$166,3,FALSE)+'Data Entry'!$B$61*VLOOKUP(Cashflow!CK3+1,'Cost Data'!$A$67:$E$166,4,FALSE)+SUM('Data Entry'!$B$62,'Data Entry'!$B$63,'Data Entry'!$B$65,'Data Entry'!$B$66,'Data Entry'!$B$67)*'Cost Data'!$C$46,0),0)</f>
        <v>0</v>
      </c>
      <c r="CL33" s="551">
        <f>IF('Data Entry'!$B$73="Yes",IF(CL3&lt;'Data Entry'!$B$13,'Data Entry'!$B$59*VLOOKUP(Cashflow!CL3+1,'Cost Data'!$A$67:$E$166,2,FALSE)+'Data Entry'!$B$60*VLOOKUP(Cashflow!CL3+1,'Cost Data'!$A$67:$E$166,3,FALSE)+'Data Entry'!$B$61*VLOOKUP(Cashflow!CL3+1,'Cost Data'!$A$67:$E$166,4,FALSE)+SUM('Data Entry'!$B$62,'Data Entry'!$B$63,'Data Entry'!$B$65,'Data Entry'!$B$66,'Data Entry'!$B$67)*'Cost Data'!$C$46,0),0)</f>
        <v>0</v>
      </c>
      <c r="CM33" s="551">
        <f>IF('Data Entry'!$B$73="Yes",IF(CM3&lt;'Data Entry'!$B$13,'Data Entry'!$B$59*VLOOKUP(Cashflow!CM3+1,'Cost Data'!$A$67:$E$166,2,FALSE)+'Data Entry'!$B$60*VLOOKUP(Cashflow!CM3+1,'Cost Data'!$A$67:$E$166,3,FALSE)+'Data Entry'!$B$61*VLOOKUP(Cashflow!CM3+1,'Cost Data'!$A$67:$E$166,4,FALSE)+SUM('Data Entry'!$B$62,'Data Entry'!$B$63,'Data Entry'!$B$65,'Data Entry'!$B$66,'Data Entry'!$B$67)*'Cost Data'!$C$46,0),0)</f>
        <v>0</v>
      </c>
      <c r="CN33" s="551">
        <f>IF('Data Entry'!$B$73="Yes",IF(CN3&lt;'Data Entry'!$B$13,'Data Entry'!$B$59*VLOOKUP(Cashflow!CN3+1,'Cost Data'!$A$67:$E$166,2,FALSE)+'Data Entry'!$B$60*VLOOKUP(Cashflow!CN3+1,'Cost Data'!$A$67:$E$166,3,FALSE)+'Data Entry'!$B$61*VLOOKUP(Cashflow!CN3+1,'Cost Data'!$A$67:$E$166,4,FALSE)+SUM('Data Entry'!$B$62,'Data Entry'!$B$63,'Data Entry'!$B$65,'Data Entry'!$B$66,'Data Entry'!$B$67)*'Cost Data'!$C$46,0),0)</f>
        <v>0</v>
      </c>
      <c r="CO33" s="551">
        <f>IF('Data Entry'!$B$73="Yes",IF(CO3&lt;'Data Entry'!$B$13,'Data Entry'!$B$59*VLOOKUP(Cashflow!CO3+1,'Cost Data'!$A$67:$E$166,2,FALSE)+'Data Entry'!$B$60*VLOOKUP(Cashflow!CO3+1,'Cost Data'!$A$67:$E$166,3,FALSE)+'Data Entry'!$B$61*VLOOKUP(Cashflow!CO3+1,'Cost Data'!$A$67:$E$166,4,FALSE)+SUM('Data Entry'!$B$62,'Data Entry'!$B$63,'Data Entry'!$B$65,'Data Entry'!$B$66,'Data Entry'!$B$67)*'Cost Data'!$C$46,0),0)</f>
        <v>0</v>
      </c>
      <c r="CP33" s="551">
        <f>IF('Data Entry'!$B$73="Yes",IF(CP3&lt;'Data Entry'!$B$13,'Data Entry'!$B$59*VLOOKUP(Cashflow!CP3+1,'Cost Data'!$A$67:$E$166,2,FALSE)+'Data Entry'!$B$60*VLOOKUP(Cashflow!CP3+1,'Cost Data'!$A$67:$E$166,3,FALSE)+'Data Entry'!$B$61*VLOOKUP(Cashflow!CP3+1,'Cost Data'!$A$67:$E$166,4,FALSE)+SUM('Data Entry'!$B$62,'Data Entry'!$B$63,'Data Entry'!$B$65,'Data Entry'!$B$66,'Data Entry'!$B$67)*'Cost Data'!$C$46,0),0)</f>
        <v>0</v>
      </c>
      <c r="CQ33" s="551">
        <f>IF('Data Entry'!$B$73="Yes",IF(CQ3&lt;'Data Entry'!$B$13,'Data Entry'!$B$59*VLOOKUP(Cashflow!CQ3+1,'Cost Data'!$A$67:$E$166,2,FALSE)+'Data Entry'!$B$60*VLOOKUP(Cashflow!CQ3+1,'Cost Data'!$A$67:$E$166,3,FALSE)+'Data Entry'!$B$61*VLOOKUP(Cashflow!CQ3+1,'Cost Data'!$A$67:$E$166,4,FALSE)+SUM('Data Entry'!$B$62,'Data Entry'!$B$63,'Data Entry'!$B$65,'Data Entry'!$B$66,'Data Entry'!$B$67)*'Cost Data'!$C$46,0),0)</f>
        <v>0</v>
      </c>
      <c r="CR33" s="551">
        <f>IF('Data Entry'!$B$73="Yes",IF(CR3&lt;'Data Entry'!$B$13,'Data Entry'!$B$59*VLOOKUP(Cashflow!CR3+1,'Cost Data'!$A$67:$E$166,2,FALSE)+'Data Entry'!$B$60*VLOOKUP(Cashflow!CR3+1,'Cost Data'!$A$67:$E$166,3,FALSE)+'Data Entry'!$B$61*VLOOKUP(Cashflow!CR3+1,'Cost Data'!$A$67:$E$166,4,FALSE)+SUM('Data Entry'!$B$62,'Data Entry'!$B$63,'Data Entry'!$B$65,'Data Entry'!$B$66,'Data Entry'!$B$67)*'Cost Data'!$C$46,0),0)</f>
        <v>0</v>
      </c>
      <c r="CS33" s="551">
        <f>IF('Data Entry'!$B$73="Yes",IF(CS3&lt;'Data Entry'!$B$13,'Data Entry'!$B$59*VLOOKUP(Cashflow!CS3+1,'Cost Data'!$A$67:$E$166,2,FALSE)+'Data Entry'!$B$60*VLOOKUP(Cashflow!CS3+1,'Cost Data'!$A$67:$E$166,3,FALSE)+'Data Entry'!$B$61*VLOOKUP(Cashflow!CS3+1,'Cost Data'!$A$67:$E$166,4,FALSE)+SUM('Data Entry'!$B$62,'Data Entry'!$B$63,'Data Entry'!$B$65,'Data Entry'!$B$66,'Data Entry'!$B$67)*'Cost Data'!$C$46,0),0)</f>
        <v>0</v>
      </c>
      <c r="CT33" s="551">
        <f>IF('Data Entry'!$B$73="Yes",IF(CT3&lt;'Data Entry'!$B$13,'Data Entry'!$B$59*VLOOKUP(Cashflow!CT3+1,'Cost Data'!$A$67:$E$166,2,FALSE)+'Data Entry'!$B$60*VLOOKUP(Cashflow!CT3+1,'Cost Data'!$A$67:$E$166,3,FALSE)+'Data Entry'!$B$61*VLOOKUP(Cashflow!CT3+1,'Cost Data'!$A$67:$E$166,4,FALSE)+SUM('Data Entry'!$B$62,'Data Entry'!$B$63,'Data Entry'!$B$65,'Data Entry'!$B$66,'Data Entry'!$B$67)*'Cost Data'!$C$46,0),0)</f>
        <v>0</v>
      </c>
      <c r="CU33" s="551">
        <f>IF('Data Entry'!$B$73="Yes",IF(CU3&lt;'Data Entry'!$B$13,'Data Entry'!$B$59*VLOOKUP(Cashflow!CU3+1,'Cost Data'!$A$67:$E$166,2,FALSE)+'Data Entry'!$B$60*VLOOKUP(Cashflow!CU3+1,'Cost Data'!$A$67:$E$166,3,FALSE)+'Data Entry'!$B$61*VLOOKUP(Cashflow!CU3+1,'Cost Data'!$A$67:$E$166,4,FALSE)+SUM('Data Entry'!$B$62,'Data Entry'!$B$63,'Data Entry'!$B$65,'Data Entry'!$B$66,'Data Entry'!$B$67)*'Cost Data'!$C$46,0),0)</f>
        <v>0</v>
      </c>
      <c r="CV33" s="551">
        <f>IF('Data Entry'!$B$73="Yes",IF(CV3&lt;'Data Entry'!$B$13,'Data Entry'!$B$59*VLOOKUP(Cashflow!CV3+1,'Cost Data'!$A$67:$E$166,2,FALSE)+'Data Entry'!$B$60*VLOOKUP(Cashflow!CV3+1,'Cost Data'!$A$67:$E$166,3,FALSE)+'Data Entry'!$B$61*VLOOKUP(Cashflow!CV3+1,'Cost Data'!$A$67:$E$166,4,FALSE)+SUM('Data Entry'!$B$62,'Data Entry'!$B$63,'Data Entry'!$B$65,'Data Entry'!$B$66,'Data Entry'!$B$67)*'Cost Data'!$C$46,0),0)</f>
        <v>0</v>
      </c>
      <c r="CW33" s="551">
        <f>IF('Data Entry'!$B$73="Yes",IF(CW3&lt;'Data Entry'!$B$13,'Data Entry'!$B$59*VLOOKUP(Cashflow!CW3+1,'Cost Data'!$A$67:$E$166,2,FALSE)+'Data Entry'!$B$60*VLOOKUP(Cashflow!CW3+1,'Cost Data'!$A$67:$E$166,3,FALSE)+'Data Entry'!$B$61*VLOOKUP(Cashflow!CW3+1,'Cost Data'!$A$67:$E$166,4,FALSE)+SUM('Data Entry'!$B$62,'Data Entry'!$B$63,'Data Entry'!$B$65,'Data Entry'!$B$66,'Data Entry'!$B$67)*'Cost Data'!$C$46,0),0)</f>
        <v>0</v>
      </c>
      <c r="CX33" s="551">
        <f>IF('Data Entry'!$B$73="Yes",IF(CX3&lt;'Data Entry'!$B$13,'Data Entry'!$B$59*VLOOKUP(Cashflow!CX3+1,'Cost Data'!$A$67:$E$166,2,FALSE)+'Data Entry'!$B$60*VLOOKUP(Cashflow!CX3+1,'Cost Data'!$A$67:$E$166,3,FALSE)+'Data Entry'!$B$61*VLOOKUP(Cashflow!CX3+1,'Cost Data'!$A$67:$E$166,4,FALSE)+SUM('Data Entry'!$B$62,'Data Entry'!$B$63,'Data Entry'!$B$65,'Data Entry'!$B$66,'Data Entry'!$B$67)*'Cost Data'!$C$46,0),0)</f>
        <v>0</v>
      </c>
      <c r="CY33" s="572">
        <f>IF('Data Entry'!$B$73="Yes",IF(CY3&lt;'Data Entry'!$B$13,'Data Entry'!$B$59*VLOOKUP(Cashflow!CY3+1,'Cost Data'!$A$67:$E$166,2,FALSE)+'Data Entry'!$B$60*VLOOKUP(Cashflow!CY3+1,'Cost Data'!$A$67:$E$166,3,FALSE)+'Data Entry'!$B$61*VLOOKUP(Cashflow!CY3+1,'Cost Data'!$A$67:$E$166,4,FALSE)+SUM('Data Entry'!$B$62,'Data Entry'!$B$63,'Data Entry'!$B$65,'Data Entry'!$B$66,'Data Entry'!$B$67)*'Cost Data'!$C$46,0),0)</f>
        <v>0</v>
      </c>
    </row>
    <row r="34" spans="1:103" ht="15" customHeight="1" x14ac:dyDescent="0.3">
      <c r="A34" s="878"/>
      <c r="B34" s="346" t="s">
        <v>417</v>
      </c>
      <c r="C34" s="685">
        <f>SUM(D34:CY34)</f>
        <v>0</v>
      </c>
      <c r="D34" s="551">
        <f>IF(D$3&lt;'Data Entry'!$B$13,'Data Entry'!$H$74,0)</f>
        <v>0</v>
      </c>
      <c r="E34" s="551">
        <f>IF(E$3&lt;'Data Entry'!$B$13,'Data Entry'!$H$74,0)</f>
        <v>0</v>
      </c>
      <c r="F34" s="551">
        <f>IF(F$3&lt;'Data Entry'!$B$13,'Data Entry'!$H$74,0)</f>
        <v>0</v>
      </c>
      <c r="G34" s="551">
        <f>IF(G$3&lt;'Data Entry'!$B$13,'Data Entry'!$H$74,0)</f>
        <v>0</v>
      </c>
      <c r="H34" s="551">
        <f>IF(H$3&lt;'Data Entry'!$B$13,'Data Entry'!$H$74,0)</f>
        <v>0</v>
      </c>
      <c r="I34" s="551">
        <f>IF(I$3&lt;'Data Entry'!$B$13,'Data Entry'!$H$74,0)</f>
        <v>0</v>
      </c>
      <c r="J34" s="551">
        <f>IF(J$3&lt;'Data Entry'!$B$13,'Data Entry'!$H$74,0)</f>
        <v>0</v>
      </c>
      <c r="K34" s="551">
        <f>IF(K$3&lt;'Data Entry'!$B$13,'Data Entry'!$H$74,0)</f>
        <v>0</v>
      </c>
      <c r="L34" s="551">
        <f>IF(L$3&lt;'Data Entry'!$B$13,'Data Entry'!$H$74,0)</f>
        <v>0</v>
      </c>
      <c r="M34" s="551">
        <f>IF(M$3&lt;'Data Entry'!$B$13,'Data Entry'!$H$74,0)</f>
        <v>0</v>
      </c>
      <c r="N34" s="551">
        <f>IF(N$3&lt;'Data Entry'!$B$13,'Data Entry'!$H$74,0)</f>
        <v>0</v>
      </c>
      <c r="O34" s="551">
        <f>IF(O$3&lt;'Data Entry'!$B$13,'Data Entry'!$H$74,0)</f>
        <v>0</v>
      </c>
      <c r="P34" s="551">
        <f>IF(P$3&lt;'Data Entry'!$B$13,'Data Entry'!$H$74,0)</f>
        <v>0</v>
      </c>
      <c r="Q34" s="551">
        <f>IF(Q$3&lt;'Data Entry'!$B$13,'Data Entry'!$H$74,0)</f>
        <v>0</v>
      </c>
      <c r="R34" s="551">
        <f>IF(R$3&lt;'Data Entry'!$B$13,'Data Entry'!$H$74,0)</f>
        <v>0</v>
      </c>
      <c r="S34" s="551">
        <f>IF(S$3&lt;'Data Entry'!$B$13,'Data Entry'!$H$74,0)</f>
        <v>0</v>
      </c>
      <c r="T34" s="551">
        <f>IF(T$3&lt;'Data Entry'!$B$13,'Data Entry'!$H$74,0)</f>
        <v>0</v>
      </c>
      <c r="U34" s="551">
        <f>IF(U$3&lt;'Data Entry'!$B$13,'Data Entry'!$H$74,0)</f>
        <v>0</v>
      </c>
      <c r="V34" s="551">
        <f>IF(V$3&lt;'Data Entry'!$B$13,'Data Entry'!$H$74,0)</f>
        <v>0</v>
      </c>
      <c r="W34" s="551">
        <f>IF(W$3&lt;'Data Entry'!$B$13,'Data Entry'!$H$74,0)</f>
        <v>0</v>
      </c>
      <c r="X34" s="551">
        <f>IF(X$3&lt;'Data Entry'!$B$13,'Data Entry'!$H$74,0)</f>
        <v>0</v>
      </c>
      <c r="Y34" s="551">
        <f>IF(Y$3&lt;'Data Entry'!$B$13,'Data Entry'!$H$74,0)</f>
        <v>0</v>
      </c>
      <c r="Z34" s="551">
        <f>IF(Z$3&lt;'Data Entry'!$B$13,'Data Entry'!$H$74,0)</f>
        <v>0</v>
      </c>
      <c r="AA34" s="551">
        <f>IF(AA$3&lt;'Data Entry'!$B$13,'Data Entry'!$H$74,0)</f>
        <v>0</v>
      </c>
      <c r="AB34" s="551">
        <f>IF(AB$3&lt;'Data Entry'!$B$13,'Data Entry'!$H$74,0)</f>
        <v>0</v>
      </c>
      <c r="AC34" s="551">
        <f>IF(AC$3&lt;'Data Entry'!$B$13,'Data Entry'!$H$74,0)</f>
        <v>0</v>
      </c>
      <c r="AD34" s="551">
        <f>IF(AD$3&lt;'Data Entry'!$B$13,'Data Entry'!$H$74,0)</f>
        <v>0</v>
      </c>
      <c r="AE34" s="551">
        <f>IF(AE$3&lt;'Data Entry'!$B$13,'Data Entry'!$H$74,0)</f>
        <v>0</v>
      </c>
      <c r="AF34" s="551">
        <f>IF(AF$3&lt;'Data Entry'!$B$13,'Data Entry'!$H$74,0)</f>
        <v>0</v>
      </c>
      <c r="AG34" s="551">
        <f>IF(AG$3&lt;'Data Entry'!$B$13,'Data Entry'!$H$74,0)</f>
        <v>0</v>
      </c>
      <c r="AH34" s="551">
        <f>IF(AH$3&lt;'Data Entry'!$B$13,'Data Entry'!$H$74,0)</f>
        <v>0</v>
      </c>
      <c r="AI34" s="551">
        <f>IF(AI$3&lt;'Data Entry'!$B$13,'Data Entry'!$H$74,0)</f>
        <v>0</v>
      </c>
      <c r="AJ34" s="551">
        <f>IF(AJ$3&lt;'Data Entry'!$B$13,'Data Entry'!$H$74,0)</f>
        <v>0</v>
      </c>
      <c r="AK34" s="551">
        <f>IF(AK$3&lt;'Data Entry'!$B$13,'Data Entry'!$H$74,0)</f>
        <v>0</v>
      </c>
      <c r="AL34" s="551">
        <f>IF(AL$3&lt;'Data Entry'!$B$13,'Data Entry'!$H$74,0)</f>
        <v>0</v>
      </c>
      <c r="AM34" s="551">
        <f>IF(AM$3&lt;'Data Entry'!$B$13,'Data Entry'!$H$74,0)</f>
        <v>0</v>
      </c>
      <c r="AN34" s="551">
        <f>IF(AN$3&lt;'Data Entry'!$B$13,'Data Entry'!$H$74,0)</f>
        <v>0</v>
      </c>
      <c r="AO34" s="555">
        <f>IF(AO$3&lt;'Data Entry'!$B$13,'Data Entry'!$H$74,0)</f>
        <v>0</v>
      </c>
      <c r="AP34" s="551">
        <f>IF(AP$3&lt;'Data Entry'!$B$13,'Data Entry'!$H$74,0)</f>
        <v>0</v>
      </c>
      <c r="AQ34" s="551">
        <f>IF(AQ$3&lt;'Data Entry'!$B$13,'Data Entry'!$H$74,0)</f>
        <v>0</v>
      </c>
      <c r="AR34" s="551">
        <f>IF(AR$3&lt;'Data Entry'!$B$13,'Data Entry'!$H$74,0)</f>
        <v>0</v>
      </c>
      <c r="AS34" s="551">
        <f>IF(AS$3&lt;'Data Entry'!$B$13,'Data Entry'!$H$74,0)</f>
        <v>0</v>
      </c>
      <c r="AT34" s="551">
        <f>IF(AT$3&lt;'Data Entry'!$B$13,'Data Entry'!$H$74,0)</f>
        <v>0</v>
      </c>
      <c r="AU34" s="551">
        <f>IF(AU$3&lt;'Data Entry'!$B$13,'Data Entry'!$H$74,0)</f>
        <v>0</v>
      </c>
      <c r="AV34" s="551">
        <f>IF(AV$3&lt;'Data Entry'!$B$13,'Data Entry'!$H$74,0)</f>
        <v>0</v>
      </c>
      <c r="AW34" s="551">
        <f>IF(AW$3&lt;'Data Entry'!$B$13,'Data Entry'!$H$74,0)</f>
        <v>0</v>
      </c>
      <c r="AX34" s="551">
        <f>IF(AX$3&lt;'Data Entry'!$B$13,'Data Entry'!$H$74,0)</f>
        <v>0</v>
      </c>
      <c r="AY34" s="551">
        <f>IF(AY$3&lt;'Data Entry'!$B$13,'Data Entry'!$H$74,0)</f>
        <v>0</v>
      </c>
      <c r="AZ34" s="551">
        <f>IF(AZ$3&lt;'Data Entry'!$B$13,'Data Entry'!$H$74,0)</f>
        <v>0</v>
      </c>
      <c r="BA34" s="551">
        <f>IF(BA$3&lt;'Data Entry'!$B$13,'Data Entry'!$H$74,0)</f>
        <v>0</v>
      </c>
      <c r="BB34" s="551">
        <f>IF(BB$3&lt;'Data Entry'!$B$13,'Data Entry'!$H$74,0)</f>
        <v>0</v>
      </c>
      <c r="BC34" s="551">
        <f>IF(BC$3&lt;'Data Entry'!$B$13,'Data Entry'!$H$74,0)</f>
        <v>0</v>
      </c>
      <c r="BD34" s="551">
        <f>IF(BD$3&lt;'Data Entry'!$B$13,'Data Entry'!$H$74,0)</f>
        <v>0</v>
      </c>
      <c r="BE34" s="551">
        <f>IF(BE$3&lt;'Data Entry'!$B$13,'Data Entry'!$H$74,0)</f>
        <v>0</v>
      </c>
      <c r="BF34" s="551">
        <f>IF(BF$3&lt;'Data Entry'!$B$13,'Data Entry'!$H$74,0)</f>
        <v>0</v>
      </c>
      <c r="BG34" s="551">
        <f>IF(BG$3&lt;'Data Entry'!$B$13,'Data Entry'!$H$74,0)</f>
        <v>0</v>
      </c>
      <c r="BH34" s="551">
        <f>IF(BH$3&lt;'Data Entry'!$B$13,'Data Entry'!$H$74,0)</f>
        <v>0</v>
      </c>
      <c r="BI34" s="551">
        <f>IF(BI$3&lt;'Data Entry'!$B$13,'Data Entry'!$H$74,0)</f>
        <v>0</v>
      </c>
      <c r="BJ34" s="551">
        <f>IF(BJ$3&lt;'Data Entry'!$B$13,'Data Entry'!$H$74,0)</f>
        <v>0</v>
      </c>
      <c r="BK34" s="555">
        <f>IF(BK$3&lt;'Data Entry'!$B$13,'Data Entry'!$H$74,0)</f>
        <v>0</v>
      </c>
      <c r="BL34" s="551">
        <f>IF(BL$3&lt;'Data Entry'!$B$13,'Data Entry'!$H$74,0)</f>
        <v>0</v>
      </c>
      <c r="BM34" s="551">
        <f>IF(BM$3&lt;'Data Entry'!$B$13,'Data Entry'!$H$74,0)</f>
        <v>0</v>
      </c>
      <c r="BN34" s="551">
        <f>IF(BN$3&lt;'Data Entry'!$B$13,'Data Entry'!$H$74,0)</f>
        <v>0</v>
      </c>
      <c r="BO34" s="551">
        <f>IF(BO$3&lt;'Data Entry'!$B$13,'Data Entry'!$H$74,0)</f>
        <v>0</v>
      </c>
      <c r="BP34" s="551">
        <f>IF(BP$3&lt;'Data Entry'!$B$13,'Data Entry'!$H$74,0)</f>
        <v>0</v>
      </c>
      <c r="BQ34" s="551">
        <f>IF(BQ$3&lt;'Data Entry'!$B$13,'Data Entry'!$H$74,0)</f>
        <v>0</v>
      </c>
      <c r="BR34" s="551">
        <f>IF(BR$3&lt;'Data Entry'!$B$13,'Data Entry'!$H$74,0)</f>
        <v>0</v>
      </c>
      <c r="BS34" s="551">
        <f>IF(BS$3&lt;'Data Entry'!$B$13,'Data Entry'!$H$74,0)</f>
        <v>0</v>
      </c>
      <c r="BT34" s="551">
        <f>IF(BT$3&lt;'Data Entry'!$B$13,'Data Entry'!$H$74,0)</f>
        <v>0</v>
      </c>
      <c r="BU34" s="551">
        <f>IF(BU$3&lt;'Data Entry'!$B$13,'Data Entry'!$H$74,0)</f>
        <v>0</v>
      </c>
      <c r="BV34" s="551">
        <f>IF(BV$3&lt;'Data Entry'!$B$13,'Data Entry'!$H$74,0)</f>
        <v>0</v>
      </c>
      <c r="BW34" s="551">
        <f>IF(BW$3&lt;'Data Entry'!$B$13,'Data Entry'!$H$74,0)</f>
        <v>0</v>
      </c>
      <c r="BX34" s="551">
        <f>IF(BX$3&lt;'Data Entry'!$B$13,'Data Entry'!$H$74,0)</f>
        <v>0</v>
      </c>
      <c r="BY34" s="551">
        <f>IF(BY$3&lt;'Data Entry'!$B$13,'Data Entry'!$H$74,0)</f>
        <v>0</v>
      </c>
      <c r="BZ34" s="551">
        <f>IF(BZ$3&lt;'Data Entry'!$B$13,'Data Entry'!$H$74,0)</f>
        <v>0</v>
      </c>
      <c r="CA34" s="555">
        <f>IF(CA$3&lt;'Data Entry'!$B$13,'Data Entry'!$H$74,0)</f>
        <v>0</v>
      </c>
      <c r="CB34" s="551">
        <f>IF(CB$3&lt;'Data Entry'!$B$13,'Data Entry'!$H$74,0)</f>
        <v>0</v>
      </c>
      <c r="CC34" s="551">
        <f>IF(CC$3&lt;'Data Entry'!$B$13,'Data Entry'!$H$74,0)</f>
        <v>0</v>
      </c>
      <c r="CD34" s="551">
        <f>IF(CD$3&lt;'Data Entry'!$B$13,'Data Entry'!$H$74,0)</f>
        <v>0</v>
      </c>
      <c r="CE34" s="551">
        <f>IF(CE$3&lt;'Data Entry'!$B$13,'Data Entry'!$H$74,0)</f>
        <v>0</v>
      </c>
      <c r="CF34" s="551">
        <f>IF(CF$3&lt;'Data Entry'!$B$13,'Data Entry'!$H$74,0)</f>
        <v>0</v>
      </c>
      <c r="CG34" s="551">
        <f>IF(CG$3&lt;'Data Entry'!$B$13,'Data Entry'!$H$74,0)</f>
        <v>0</v>
      </c>
      <c r="CH34" s="551">
        <f>IF(CH$3&lt;'Data Entry'!$B$13,'Data Entry'!$H$74,0)</f>
        <v>0</v>
      </c>
      <c r="CI34" s="551">
        <f>IF(CI$3&lt;'Data Entry'!$B$13,'Data Entry'!$H$74,0)</f>
        <v>0</v>
      </c>
      <c r="CJ34" s="551">
        <f>IF(CJ$3&lt;'Data Entry'!$B$13,'Data Entry'!$H$74,0)</f>
        <v>0</v>
      </c>
      <c r="CK34" s="551">
        <f>IF(CK$3&lt;'Data Entry'!$B$13,'Data Entry'!$H$74,0)</f>
        <v>0</v>
      </c>
      <c r="CL34" s="551">
        <f>IF(CL$3&lt;'Data Entry'!$B$13,'Data Entry'!$H$74,0)</f>
        <v>0</v>
      </c>
      <c r="CM34" s="551">
        <f>IF(CM$3&lt;'Data Entry'!$B$13,'Data Entry'!$H$74,0)</f>
        <v>0</v>
      </c>
      <c r="CN34" s="551">
        <f>IF(CN$3&lt;'Data Entry'!$B$13,'Data Entry'!$H$74,0)</f>
        <v>0</v>
      </c>
      <c r="CO34" s="551">
        <f>IF(CO$3&lt;'Data Entry'!$B$13,'Data Entry'!$H$74,0)</f>
        <v>0</v>
      </c>
      <c r="CP34" s="551">
        <f>IF(CP$3&lt;'Data Entry'!$B$13,'Data Entry'!$H$74,0)</f>
        <v>0</v>
      </c>
      <c r="CQ34" s="551">
        <f>IF(CQ$3&lt;'Data Entry'!$B$13,'Data Entry'!$H$74,0)</f>
        <v>0</v>
      </c>
      <c r="CR34" s="551">
        <f>IF(CR$3&lt;'Data Entry'!$B$13,'Data Entry'!$H$74,0)</f>
        <v>0</v>
      </c>
      <c r="CS34" s="551">
        <f>IF(CS$3&lt;'Data Entry'!$B$13,'Data Entry'!$H$74,0)</f>
        <v>0</v>
      </c>
      <c r="CT34" s="551">
        <f>IF(CT$3&lt;'Data Entry'!$B$13,'Data Entry'!$H$74,0)</f>
        <v>0</v>
      </c>
      <c r="CU34" s="551">
        <f>IF(CU$3&lt;'Data Entry'!$B$13,'Data Entry'!$H$74,0)</f>
        <v>0</v>
      </c>
      <c r="CV34" s="551">
        <f>IF(CV$3&lt;'Data Entry'!$B$13,'Data Entry'!$H$74,0)</f>
        <v>0</v>
      </c>
      <c r="CW34" s="551">
        <f>IF(CW$3&lt;'Data Entry'!$B$13,'Data Entry'!$H$74,0)</f>
        <v>0</v>
      </c>
      <c r="CX34" s="551">
        <f>IF(CX$3&lt;'Data Entry'!$B$13,'Data Entry'!$H$74,0)</f>
        <v>0</v>
      </c>
      <c r="CY34" s="572">
        <f>IF(CY$3&lt;'Data Entry'!$B$13,'Data Entry'!$H$74,0)</f>
        <v>0</v>
      </c>
    </row>
    <row r="35" spans="1:103" ht="15" customHeight="1" x14ac:dyDescent="0.3">
      <c r="A35" s="879"/>
      <c r="B35" s="694" t="s">
        <v>542</v>
      </c>
      <c r="C35" s="685">
        <f>SUM(D35:CY35)</f>
        <v>0</v>
      </c>
      <c r="D35" s="176"/>
      <c r="E35" s="176"/>
      <c r="F35" s="176"/>
      <c r="G35" s="176"/>
      <c r="H35" s="176"/>
      <c r="I35" s="176"/>
      <c r="J35" s="176"/>
      <c r="K35" s="176"/>
      <c r="L35" s="176"/>
      <c r="M35" s="176"/>
      <c r="N35" s="176"/>
      <c r="O35" s="176"/>
      <c r="P35" s="176"/>
      <c r="Q35" s="176"/>
      <c r="R35" s="551">
        <f>'Data Entry'!H37</f>
        <v>0</v>
      </c>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7"/>
      <c r="AP35" s="176"/>
      <c r="AQ35" s="176"/>
      <c r="AR35" s="176"/>
      <c r="AS35" s="176"/>
      <c r="AT35" s="176"/>
      <c r="AU35" s="176"/>
      <c r="AV35" s="176"/>
      <c r="AW35" s="176"/>
      <c r="AX35" s="176"/>
      <c r="AY35" s="176"/>
      <c r="AZ35" s="176"/>
      <c r="BA35" s="176"/>
      <c r="BB35" s="176"/>
      <c r="BC35" s="176"/>
      <c r="BD35" s="176"/>
      <c r="BE35" s="176"/>
      <c r="BF35" s="176"/>
      <c r="BG35" s="176"/>
      <c r="BH35" s="176"/>
      <c r="BI35" s="176"/>
      <c r="BJ35" s="176"/>
      <c r="BK35" s="177"/>
      <c r="BL35" s="176"/>
      <c r="BM35" s="176"/>
      <c r="BN35" s="176"/>
      <c r="BO35" s="176"/>
      <c r="BP35" s="176"/>
      <c r="BQ35" s="176"/>
      <c r="BR35" s="176"/>
      <c r="BS35" s="176"/>
      <c r="BT35" s="176"/>
      <c r="BU35" s="176"/>
      <c r="BV35" s="176"/>
      <c r="BW35" s="176"/>
      <c r="BX35" s="176"/>
      <c r="BY35" s="176"/>
      <c r="BZ35" s="176"/>
      <c r="CA35" s="177"/>
      <c r="CB35" s="176"/>
      <c r="CC35" s="176"/>
      <c r="CD35" s="176"/>
      <c r="CE35" s="176"/>
      <c r="CF35" s="176"/>
      <c r="CG35" s="176"/>
      <c r="CH35" s="176"/>
      <c r="CI35" s="176"/>
      <c r="CJ35" s="176"/>
      <c r="CK35" s="176"/>
      <c r="CL35" s="176"/>
      <c r="CM35" s="176"/>
      <c r="CN35" s="176"/>
      <c r="CO35" s="176"/>
      <c r="CP35" s="176"/>
      <c r="CQ35" s="176"/>
      <c r="CR35" s="176"/>
      <c r="CS35" s="176"/>
      <c r="CT35" s="176"/>
      <c r="CU35" s="176"/>
      <c r="CV35" s="176"/>
      <c r="CW35" s="176"/>
      <c r="CX35" s="176"/>
      <c r="CY35" s="570"/>
    </row>
    <row r="36" spans="1:103" ht="15" customHeight="1" x14ac:dyDescent="0.3">
      <c r="A36" s="695" t="s">
        <v>2</v>
      </c>
      <c r="B36" s="689"/>
      <c r="C36" s="691">
        <f>SUM(C32:C35)</f>
        <v>0</v>
      </c>
      <c r="D36" s="690">
        <f>SUM(D32:D35)</f>
        <v>0</v>
      </c>
      <c r="E36" s="690">
        <f t="shared" ref="E36:AH36" si="5">SUM(E32:E35)</f>
        <v>0</v>
      </c>
      <c r="F36" s="690">
        <f t="shared" si="5"/>
        <v>0</v>
      </c>
      <c r="G36" s="690">
        <f t="shared" si="5"/>
        <v>0</v>
      </c>
      <c r="H36" s="690">
        <f t="shared" si="5"/>
        <v>0</v>
      </c>
      <c r="I36" s="690">
        <f t="shared" si="5"/>
        <v>0</v>
      </c>
      <c r="J36" s="690">
        <f t="shared" si="5"/>
        <v>0</v>
      </c>
      <c r="K36" s="690">
        <f t="shared" si="5"/>
        <v>0</v>
      </c>
      <c r="L36" s="690">
        <f t="shared" si="5"/>
        <v>0</v>
      </c>
      <c r="M36" s="690">
        <f t="shared" si="5"/>
        <v>0</v>
      </c>
      <c r="N36" s="690">
        <f t="shared" si="5"/>
        <v>0</v>
      </c>
      <c r="O36" s="690">
        <f t="shared" si="5"/>
        <v>0</v>
      </c>
      <c r="P36" s="690">
        <f t="shared" si="5"/>
        <v>0</v>
      </c>
      <c r="Q36" s="690">
        <f t="shared" si="5"/>
        <v>0</v>
      </c>
      <c r="R36" s="690">
        <f t="shared" si="5"/>
        <v>0</v>
      </c>
      <c r="S36" s="690">
        <f t="shared" si="5"/>
        <v>0</v>
      </c>
      <c r="T36" s="690">
        <f t="shared" si="5"/>
        <v>0</v>
      </c>
      <c r="U36" s="690">
        <f t="shared" si="5"/>
        <v>0</v>
      </c>
      <c r="V36" s="690">
        <f t="shared" si="5"/>
        <v>0</v>
      </c>
      <c r="W36" s="690">
        <f t="shared" si="5"/>
        <v>0</v>
      </c>
      <c r="X36" s="690">
        <f t="shared" si="5"/>
        <v>0</v>
      </c>
      <c r="Y36" s="690">
        <f t="shared" si="5"/>
        <v>0</v>
      </c>
      <c r="Z36" s="690">
        <f t="shared" si="5"/>
        <v>0</v>
      </c>
      <c r="AA36" s="690">
        <f t="shared" si="5"/>
        <v>0</v>
      </c>
      <c r="AB36" s="690">
        <f t="shared" si="5"/>
        <v>0</v>
      </c>
      <c r="AC36" s="690">
        <f t="shared" si="5"/>
        <v>0</v>
      </c>
      <c r="AD36" s="690">
        <f t="shared" si="5"/>
        <v>0</v>
      </c>
      <c r="AE36" s="690">
        <f t="shared" si="5"/>
        <v>0</v>
      </c>
      <c r="AF36" s="690">
        <f t="shared" si="5"/>
        <v>0</v>
      </c>
      <c r="AG36" s="690">
        <f t="shared" si="5"/>
        <v>0</v>
      </c>
      <c r="AH36" s="690">
        <f t="shared" si="5"/>
        <v>0</v>
      </c>
      <c r="AI36" s="690">
        <f t="shared" ref="AI36:BN36" si="6">SUM(AI32:AI35)</f>
        <v>0</v>
      </c>
      <c r="AJ36" s="690">
        <f t="shared" si="6"/>
        <v>0</v>
      </c>
      <c r="AK36" s="690">
        <f t="shared" si="6"/>
        <v>0</v>
      </c>
      <c r="AL36" s="690">
        <f t="shared" si="6"/>
        <v>0</v>
      </c>
      <c r="AM36" s="690">
        <f t="shared" si="6"/>
        <v>0</v>
      </c>
      <c r="AN36" s="690">
        <f t="shared" si="6"/>
        <v>0</v>
      </c>
      <c r="AO36" s="692">
        <f t="shared" si="6"/>
        <v>0</v>
      </c>
      <c r="AP36" s="690">
        <f t="shared" si="6"/>
        <v>0</v>
      </c>
      <c r="AQ36" s="690">
        <f t="shared" si="6"/>
        <v>0</v>
      </c>
      <c r="AR36" s="690">
        <f t="shared" si="6"/>
        <v>0</v>
      </c>
      <c r="AS36" s="690">
        <f t="shared" si="6"/>
        <v>0</v>
      </c>
      <c r="AT36" s="690">
        <f t="shared" si="6"/>
        <v>0</v>
      </c>
      <c r="AU36" s="690">
        <f t="shared" si="6"/>
        <v>0</v>
      </c>
      <c r="AV36" s="690">
        <f t="shared" si="6"/>
        <v>0</v>
      </c>
      <c r="AW36" s="690">
        <f t="shared" si="6"/>
        <v>0</v>
      </c>
      <c r="AX36" s="690">
        <f t="shared" si="6"/>
        <v>0</v>
      </c>
      <c r="AY36" s="690">
        <f t="shared" si="6"/>
        <v>0</v>
      </c>
      <c r="AZ36" s="690">
        <f t="shared" si="6"/>
        <v>0</v>
      </c>
      <c r="BA36" s="690">
        <f t="shared" si="6"/>
        <v>0</v>
      </c>
      <c r="BB36" s="690">
        <f t="shared" si="6"/>
        <v>0</v>
      </c>
      <c r="BC36" s="690">
        <f t="shared" si="6"/>
        <v>0</v>
      </c>
      <c r="BD36" s="690">
        <f t="shared" si="6"/>
        <v>0</v>
      </c>
      <c r="BE36" s="690">
        <f t="shared" si="6"/>
        <v>0</v>
      </c>
      <c r="BF36" s="690">
        <f t="shared" si="6"/>
        <v>0</v>
      </c>
      <c r="BG36" s="690">
        <f t="shared" si="6"/>
        <v>0</v>
      </c>
      <c r="BH36" s="690">
        <f t="shared" si="6"/>
        <v>0</v>
      </c>
      <c r="BI36" s="690">
        <f t="shared" si="6"/>
        <v>0</v>
      </c>
      <c r="BJ36" s="690">
        <f t="shared" si="6"/>
        <v>0</v>
      </c>
      <c r="BK36" s="692">
        <f t="shared" si="6"/>
        <v>0</v>
      </c>
      <c r="BL36" s="690">
        <f t="shared" si="6"/>
        <v>0</v>
      </c>
      <c r="BM36" s="690">
        <f t="shared" si="6"/>
        <v>0</v>
      </c>
      <c r="BN36" s="690">
        <f t="shared" si="6"/>
        <v>0</v>
      </c>
      <c r="BO36" s="690">
        <f t="shared" ref="BO36:CT36" si="7">SUM(BO32:BO35)</f>
        <v>0</v>
      </c>
      <c r="BP36" s="690">
        <f t="shared" si="7"/>
        <v>0</v>
      </c>
      <c r="BQ36" s="690">
        <f t="shared" si="7"/>
        <v>0</v>
      </c>
      <c r="BR36" s="690">
        <f t="shared" si="7"/>
        <v>0</v>
      </c>
      <c r="BS36" s="690">
        <f t="shared" si="7"/>
        <v>0</v>
      </c>
      <c r="BT36" s="690">
        <f t="shared" si="7"/>
        <v>0</v>
      </c>
      <c r="BU36" s="690">
        <f t="shared" si="7"/>
        <v>0</v>
      </c>
      <c r="BV36" s="690">
        <f t="shared" si="7"/>
        <v>0</v>
      </c>
      <c r="BW36" s="690">
        <f t="shared" si="7"/>
        <v>0</v>
      </c>
      <c r="BX36" s="690">
        <f t="shared" si="7"/>
        <v>0</v>
      </c>
      <c r="BY36" s="690">
        <f t="shared" si="7"/>
        <v>0</v>
      </c>
      <c r="BZ36" s="690">
        <f t="shared" si="7"/>
        <v>0</v>
      </c>
      <c r="CA36" s="692">
        <f t="shared" si="7"/>
        <v>0</v>
      </c>
      <c r="CB36" s="690">
        <f t="shared" si="7"/>
        <v>0</v>
      </c>
      <c r="CC36" s="690">
        <f t="shared" si="7"/>
        <v>0</v>
      </c>
      <c r="CD36" s="690">
        <f t="shared" si="7"/>
        <v>0</v>
      </c>
      <c r="CE36" s="690">
        <f t="shared" si="7"/>
        <v>0</v>
      </c>
      <c r="CF36" s="690">
        <f t="shared" si="7"/>
        <v>0</v>
      </c>
      <c r="CG36" s="690">
        <f t="shared" si="7"/>
        <v>0</v>
      </c>
      <c r="CH36" s="690">
        <f t="shared" si="7"/>
        <v>0</v>
      </c>
      <c r="CI36" s="690">
        <f t="shared" si="7"/>
        <v>0</v>
      </c>
      <c r="CJ36" s="690">
        <f t="shared" si="7"/>
        <v>0</v>
      </c>
      <c r="CK36" s="690">
        <f t="shared" si="7"/>
        <v>0</v>
      </c>
      <c r="CL36" s="690">
        <f t="shared" si="7"/>
        <v>0</v>
      </c>
      <c r="CM36" s="690">
        <f t="shared" si="7"/>
        <v>0</v>
      </c>
      <c r="CN36" s="690">
        <f t="shared" si="7"/>
        <v>0</v>
      </c>
      <c r="CO36" s="690">
        <f t="shared" si="7"/>
        <v>0</v>
      </c>
      <c r="CP36" s="690">
        <f t="shared" si="7"/>
        <v>0</v>
      </c>
      <c r="CQ36" s="690">
        <f t="shared" si="7"/>
        <v>0</v>
      </c>
      <c r="CR36" s="690">
        <f t="shared" si="7"/>
        <v>0</v>
      </c>
      <c r="CS36" s="690">
        <f t="shared" si="7"/>
        <v>0</v>
      </c>
      <c r="CT36" s="690">
        <f t="shared" si="7"/>
        <v>0</v>
      </c>
      <c r="CU36" s="690">
        <f>SUM(CU32:CU35)</f>
        <v>0</v>
      </c>
      <c r="CV36" s="690">
        <f>SUM(CV32:CV35)</f>
        <v>0</v>
      </c>
      <c r="CW36" s="690">
        <f>SUM(CW32:CW35)</f>
        <v>0</v>
      </c>
      <c r="CX36" s="690">
        <f>SUM(CX32:CX35)</f>
        <v>0</v>
      </c>
      <c r="CY36" s="693">
        <f>SUM(CY32:CY35)</f>
        <v>0</v>
      </c>
    </row>
    <row r="37" spans="1:103" ht="15" customHeight="1" x14ac:dyDescent="0.3">
      <c r="A37" s="880" t="s">
        <v>522</v>
      </c>
      <c r="B37" s="346" t="s">
        <v>543</v>
      </c>
      <c r="C37" s="685">
        <f ca="1">SUM(D37:CY37)</f>
        <v>0</v>
      </c>
      <c r="D37" s="549">
        <f ca="1">IFERROR(VLOOKUP(0,INDIRECT('Lookup Tables'!$K$4),2,FALSE),0)</f>
        <v>0</v>
      </c>
      <c r="E37" s="549">
        <f ca="1">IFERROR(VLOOKUP(E3+1,INDIRECT('Lookup Tables'!$K$4),3,FALSE),0)</f>
        <v>0</v>
      </c>
      <c r="F37" s="549">
        <f ca="1">IFERROR(VLOOKUP(F3+1,INDIRECT('Lookup Tables'!$K$4),3,FALSE),0)</f>
        <v>0</v>
      </c>
      <c r="G37" s="549">
        <f ca="1">IFERROR(VLOOKUP(G3+1,INDIRECT('Lookup Tables'!$K$4),3,FALSE),0)</f>
        <v>0</v>
      </c>
      <c r="H37" s="549">
        <f ca="1">IFERROR(VLOOKUP(H3+1,INDIRECT('Lookup Tables'!$K$4),3,FALSE),0)</f>
        <v>0</v>
      </c>
      <c r="I37" s="549">
        <f ca="1">IFERROR(VLOOKUP(I3+1,INDIRECT('Lookup Tables'!$K$4),3,FALSE),0)</f>
        <v>0</v>
      </c>
      <c r="J37" s="549">
        <f ca="1">IFERROR(VLOOKUP(J3+1,INDIRECT('Lookup Tables'!$K$4),3,FALSE),0)</f>
        <v>0</v>
      </c>
      <c r="K37" s="549">
        <f ca="1">IFERROR(VLOOKUP(K3+1,INDIRECT('Lookup Tables'!$K$4),3,FALSE),0)</f>
        <v>0</v>
      </c>
      <c r="L37" s="549">
        <f ca="1">IFERROR(VLOOKUP(L3+1,INDIRECT('Lookup Tables'!$K$4),3,FALSE),0)</f>
        <v>0</v>
      </c>
      <c r="M37" s="549">
        <f ca="1">IFERROR(VLOOKUP(M3+1,INDIRECT('Lookup Tables'!$K$4),3,FALSE),0)</f>
        <v>0</v>
      </c>
      <c r="N37" s="549">
        <f ca="1">IFERROR(VLOOKUP(N3+1,INDIRECT('Lookup Tables'!$K$4),3,FALSE),0)</f>
        <v>0</v>
      </c>
      <c r="O37" s="549">
        <f ca="1">IFERROR(VLOOKUP(O3+1,INDIRECT('Lookup Tables'!$K$4),3,FALSE),0)</f>
        <v>0</v>
      </c>
      <c r="P37" s="549">
        <f ca="1">IFERROR(VLOOKUP(P3+1,INDIRECT('Lookup Tables'!$K$4),3,FALSE),0)</f>
        <v>0</v>
      </c>
      <c r="Q37" s="549">
        <f ca="1">IFERROR(VLOOKUP(Q3+1,INDIRECT('Lookup Tables'!$K$4),3,FALSE),0)</f>
        <v>0</v>
      </c>
      <c r="R37" s="549">
        <f ca="1">IFERROR(VLOOKUP(R3+1,INDIRECT('Lookup Tables'!$K$4),3,FALSE),0)</f>
        <v>0</v>
      </c>
      <c r="S37" s="549">
        <f ca="1">IFERROR(VLOOKUP(S3+1,INDIRECT('Lookup Tables'!$K$4),3,FALSE),0)</f>
        <v>0</v>
      </c>
      <c r="T37" s="549">
        <f ca="1">IFERROR(VLOOKUP(T3+1,INDIRECT('Lookup Tables'!$K$4),3,FALSE),0)</f>
        <v>0</v>
      </c>
      <c r="U37" s="549">
        <f ca="1">IFERROR(VLOOKUP(U3+1,INDIRECT('Lookup Tables'!$K$4),3,FALSE),0)</f>
        <v>0</v>
      </c>
      <c r="V37" s="549">
        <f ca="1">IFERROR(VLOOKUP(V3+1,INDIRECT('Lookup Tables'!$K$4),3,FALSE),0)</f>
        <v>0</v>
      </c>
      <c r="W37" s="549">
        <f ca="1">IFERROR(VLOOKUP(W3+1,INDIRECT('Lookup Tables'!$K$4),3,FALSE),0)</f>
        <v>0</v>
      </c>
      <c r="X37" s="549">
        <f ca="1">IFERROR(VLOOKUP(X3+1,INDIRECT('Lookup Tables'!$K$4),3,FALSE),0)</f>
        <v>0</v>
      </c>
      <c r="Y37" s="549">
        <f ca="1">IFERROR(VLOOKUP(Y3+1,INDIRECT('Lookup Tables'!$K$4),3,FALSE),0)</f>
        <v>0</v>
      </c>
      <c r="Z37" s="549">
        <f ca="1">IFERROR(VLOOKUP(Z3+1,INDIRECT('Lookup Tables'!$K$4),3,FALSE),0)</f>
        <v>0</v>
      </c>
      <c r="AA37" s="549">
        <f ca="1">IFERROR(VLOOKUP(AA3+1,INDIRECT('Lookup Tables'!$K$4),3,FALSE),0)</f>
        <v>0</v>
      </c>
      <c r="AB37" s="549">
        <f ca="1">IFERROR(VLOOKUP(AB3+1,INDIRECT('Lookup Tables'!$K$4),3,FALSE),0)</f>
        <v>0</v>
      </c>
      <c r="AC37" s="549">
        <f ca="1">IFERROR(VLOOKUP(AC3+1,INDIRECT('Lookup Tables'!$K$4),3,FALSE),0)</f>
        <v>0</v>
      </c>
      <c r="AD37" s="549">
        <f ca="1">IFERROR(VLOOKUP(AD3+1,INDIRECT('Lookup Tables'!$K$4),3,FALSE),0)</f>
        <v>0</v>
      </c>
      <c r="AE37" s="549">
        <f ca="1">IFERROR(VLOOKUP(AE3+1,INDIRECT('Lookup Tables'!$K$4),3,FALSE),0)</f>
        <v>0</v>
      </c>
      <c r="AF37" s="549">
        <f ca="1">IFERROR(VLOOKUP(AF3+1,INDIRECT('Lookup Tables'!$K$4),3,FALSE),0)</f>
        <v>0</v>
      </c>
      <c r="AG37" s="549">
        <f ca="1">IFERROR(VLOOKUP(AG3+1,INDIRECT('Lookup Tables'!$K$4),3,FALSE),0)</f>
        <v>0</v>
      </c>
      <c r="AH37" s="549">
        <f ca="1">IFERROR(VLOOKUP(AH3+1,INDIRECT('Lookup Tables'!$K$4),3,FALSE),0)</f>
        <v>0</v>
      </c>
      <c r="AI37" s="549">
        <f ca="1">IFERROR(VLOOKUP(AI3+1,INDIRECT('Lookup Tables'!$K$4),3,FALSE),0)</f>
        <v>0</v>
      </c>
      <c r="AJ37" s="549">
        <f ca="1">IFERROR(VLOOKUP(AJ3+1,INDIRECT('Lookup Tables'!$K$4),3,FALSE),0)</f>
        <v>0</v>
      </c>
      <c r="AK37" s="549">
        <f ca="1">IFERROR(VLOOKUP(AK3+1,INDIRECT('Lookup Tables'!$K$4),3,FALSE),0)</f>
        <v>0</v>
      </c>
      <c r="AL37" s="549">
        <f ca="1">IFERROR(VLOOKUP(AL3+1,INDIRECT('Lookup Tables'!$K$4),3,FALSE),0)</f>
        <v>0</v>
      </c>
      <c r="AM37" s="549">
        <f ca="1">IFERROR(VLOOKUP(AM3+1,INDIRECT('Lookup Tables'!$K$4),3,FALSE),0)</f>
        <v>0</v>
      </c>
      <c r="AN37" s="549">
        <f ca="1">IFERROR(VLOOKUP(AN3+1,INDIRECT('Lookup Tables'!$K$4),3,FALSE),0)</f>
        <v>0</v>
      </c>
      <c r="AO37" s="553">
        <f ca="1">IFERROR(VLOOKUP(AO3+1,INDIRECT('Lookup Tables'!$K$4),3,FALSE),0)</f>
        <v>0</v>
      </c>
      <c r="AP37" s="549">
        <f ca="1">IFERROR(VLOOKUP(AP3+1,INDIRECT('Lookup Tables'!$K$4),3,FALSE),0)</f>
        <v>0</v>
      </c>
      <c r="AQ37" s="549">
        <f ca="1">IFERROR(VLOOKUP(AQ3+1,INDIRECT('Lookup Tables'!$K$4),3,FALSE),0)</f>
        <v>0</v>
      </c>
      <c r="AR37" s="549">
        <f ca="1">IFERROR(VLOOKUP(AR3+1,INDIRECT('Lookup Tables'!$K$4),3,FALSE),0)</f>
        <v>0</v>
      </c>
      <c r="AS37" s="549">
        <f ca="1">IFERROR(VLOOKUP(AS3+1,INDIRECT('Lookup Tables'!$K$4),3,FALSE),0)</f>
        <v>0</v>
      </c>
      <c r="AT37" s="549">
        <f ca="1">IFERROR(VLOOKUP(AT3+1,INDIRECT('Lookup Tables'!$K$4),3,FALSE),0)</f>
        <v>0</v>
      </c>
      <c r="AU37" s="549">
        <f ca="1">IFERROR(VLOOKUP(AU3+1,INDIRECT('Lookup Tables'!$K$4),3,FALSE),0)</f>
        <v>0</v>
      </c>
      <c r="AV37" s="549">
        <f ca="1">IFERROR(VLOOKUP(AV3+1,INDIRECT('Lookup Tables'!$K$4),3,FALSE),0)</f>
        <v>0</v>
      </c>
      <c r="AW37" s="549">
        <f ca="1">IFERROR(VLOOKUP(AW3+1,INDIRECT('Lookup Tables'!$K$4),3,FALSE),0)</f>
        <v>0</v>
      </c>
      <c r="AX37" s="549">
        <f ca="1">IFERROR(VLOOKUP(AX3+1,INDIRECT('Lookup Tables'!$K$4),3,FALSE),0)</f>
        <v>0</v>
      </c>
      <c r="AY37" s="549">
        <f ca="1">IFERROR(VLOOKUP(AY3+1,INDIRECT('Lookup Tables'!$K$4),3,FALSE),0)</f>
        <v>0</v>
      </c>
      <c r="AZ37" s="549">
        <f ca="1">IFERROR(VLOOKUP(AZ3+1,INDIRECT('Lookup Tables'!$K$4),3,FALSE),0)</f>
        <v>0</v>
      </c>
      <c r="BA37" s="549">
        <f ca="1">IFERROR(VLOOKUP(BA3+1,INDIRECT('Lookup Tables'!$K$4),3,FALSE),0)</f>
        <v>0</v>
      </c>
      <c r="BB37" s="549">
        <f ca="1">IFERROR(VLOOKUP(BB3+1,INDIRECT('Lookup Tables'!$K$4),3,FALSE),0)</f>
        <v>0</v>
      </c>
      <c r="BC37" s="549">
        <f ca="1">IFERROR(VLOOKUP(BC3+1,INDIRECT('Lookup Tables'!$K$4),3,FALSE),0)</f>
        <v>0</v>
      </c>
      <c r="BD37" s="549">
        <f ca="1">IFERROR(VLOOKUP(BD3+1,INDIRECT('Lookup Tables'!$K$4),3,FALSE),0)</f>
        <v>0</v>
      </c>
      <c r="BE37" s="549">
        <f ca="1">IFERROR(VLOOKUP(BE3+1,INDIRECT('Lookup Tables'!$K$4),3,FALSE),0)</f>
        <v>0</v>
      </c>
      <c r="BF37" s="549">
        <f ca="1">IFERROR(VLOOKUP(BF3+1,INDIRECT('Lookup Tables'!$K$4),3,FALSE),0)</f>
        <v>0</v>
      </c>
      <c r="BG37" s="549">
        <f ca="1">IFERROR(VLOOKUP(BG3+1,INDIRECT('Lookup Tables'!$K$4),3,FALSE),0)</f>
        <v>0</v>
      </c>
      <c r="BH37" s="549">
        <f ca="1">IFERROR(VLOOKUP(BH3+1,INDIRECT('Lookup Tables'!$K$4),3,FALSE),0)</f>
        <v>0</v>
      </c>
      <c r="BI37" s="549">
        <f ca="1">IFERROR(VLOOKUP(BI3+1,INDIRECT('Lookup Tables'!$K$4),3,FALSE),0)</f>
        <v>0</v>
      </c>
      <c r="BJ37" s="549">
        <f ca="1">IFERROR(VLOOKUP(BJ3+1,INDIRECT('Lookup Tables'!$K$4),3,FALSE),0)</f>
        <v>0</v>
      </c>
      <c r="BK37" s="553">
        <f ca="1">IFERROR(VLOOKUP(BK3+1,INDIRECT('Lookup Tables'!$K$4),3,FALSE),0)</f>
        <v>0</v>
      </c>
      <c r="BL37" s="549">
        <f ca="1">IFERROR(VLOOKUP(BL3+1,INDIRECT('Lookup Tables'!$K$4),3,FALSE),0)</f>
        <v>0</v>
      </c>
      <c r="BM37" s="549">
        <f ca="1">IFERROR(VLOOKUP(BM3+1,INDIRECT('Lookup Tables'!$K$4),3,FALSE),0)</f>
        <v>0</v>
      </c>
      <c r="BN37" s="549">
        <f ca="1">IFERROR(VLOOKUP(BN3+1,INDIRECT('Lookup Tables'!$K$4),3,FALSE),0)</f>
        <v>0</v>
      </c>
      <c r="BO37" s="549">
        <f ca="1">IFERROR(VLOOKUP(BO3+1,INDIRECT('Lookup Tables'!$K$4),3,FALSE),0)</f>
        <v>0</v>
      </c>
      <c r="BP37" s="549">
        <f ca="1">IFERROR(VLOOKUP(BP3+1,INDIRECT('Lookup Tables'!$K$4),3,FALSE),0)</f>
        <v>0</v>
      </c>
      <c r="BQ37" s="549">
        <f ca="1">IFERROR(VLOOKUP(BQ3+1,INDIRECT('Lookup Tables'!$K$4),3,FALSE),0)</f>
        <v>0</v>
      </c>
      <c r="BR37" s="549">
        <f ca="1">IFERROR(VLOOKUP(BR3+1,INDIRECT('Lookup Tables'!$K$4),3,FALSE),0)</f>
        <v>0</v>
      </c>
      <c r="BS37" s="549">
        <f ca="1">IFERROR(VLOOKUP(BS3+1,INDIRECT('Lookup Tables'!$K$4),3,FALSE),0)</f>
        <v>0</v>
      </c>
      <c r="BT37" s="549">
        <f ca="1">IFERROR(VLOOKUP(BT3+1,INDIRECT('Lookup Tables'!$K$4),3,FALSE),0)</f>
        <v>0</v>
      </c>
      <c r="BU37" s="549">
        <f ca="1">IFERROR(VLOOKUP(BU3+1,INDIRECT('Lookup Tables'!$K$4),3,FALSE),0)</f>
        <v>0</v>
      </c>
      <c r="BV37" s="549">
        <f ca="1">IFERROR(VLOOKUP(BV3+1,INDIRECT('Lookup Tables'!$K$4),3,FALSE),0)</f>
        <v>0</v>
      </c>
      <c r="BW37" s="549">
        <f ca="1">IFERROR(VLOOKUP(BW3+1,INDIRECT('Lookup Tables'!$K$4),3,FALSE),0)</f>
        <v>0</v>
      </c>
      <c r="BX37" s="549">
        <f ca="1">IFERROR(VLOOKUP(BX3+1,INDIRECT('Lookup Tables'!$K$4),3,FALSE),0)</f>
        <v>0</v>
      </c>
      <c r="BY37" s="549">
        <f ca="1">IFERROR(VLOOKUP(BY3+1,INDIRECT('Lookup Tables'!$K$4),3,FALSE),0)</f>
        <v>0</v>
      </c>
      <c r="BZ37" s="549">
        <f ca="1">IFERROR(VLOOKUP(BZ3+1,INDIRECT('Lookup Tables'!$K$4),3,FALSE),0)</f>
        <v>0</v>
      </c>
      <c r="CA37" s="553">
        <f ca="1">IFERROR(VLOOKUP(CA3+1,INDIRECT('Lookup Tables'!$K$4),3,FALSE),0)</f>
        <v>0</v>
      </c>
      <c r="CB37" s="549">
        <f ca="1">IFERROR(VLOOKUP(CB3+1,INDIRECT('Lookup Tables'!$K$4),3,FALSE),0)</f>
        <v>0</v>
      </c>
      <c r="CC37" s="549">
        <f ca="1">IFERROR(VLOOKUP(CC3+1,INDIRECT('Lookup Tables'!$K$4),3,FALSE),0)</f>
        <v>0</v>
      </c>
      <c r="CD37" s="549">
        <f ca="1">IFERROR(VLOOKUP(CD3+1,INDIRECT('Lookup Tables'!$K$4),3,FALSE),0)</f>
        <v>0</v>
      </c>
      <c r="CE37" s="549">
        <f ca="1">IFERROR(VLOOKUP(CE3+1,INDIRECT('Lookup Tables'!$K$4),3,FALSE),0)</f>
        <v>0</v>
      </c>
      <c r="CF37" s="549">
        <f ca="1">IFERROR(VLOOKUP(CF3+1,INDIRECT('Lookup Tables'!$K$4),3,FALSE),0)</f>
        <v>0</v>
      </c>
      <c r="CG37" s="549">
        <f ca="1">IFERROR(VLOOKUP(CG3+1,INDIRECT('Lookup Tables'!$K$4),3,FALSE),0)</f>
        <v>0</v>
      </c>
      <c r="CH37" s="549">
        <f ca="1">IFERROR(VLOOKUP(CH3+1,INDIRECT('Lookup Tables'!$K$4),3,FALSE),0)</f>
        <v>0</v>
      </c>
      <c r="CI37" s="549">
        <f ca="1">IFERROR(VLOOKUP(CI3+1,INDIRECT('Lookup Tables'!$K$4),3,FALSE),0)</f>
        <v>0</v>
      </c>
      <c r="CJ37" s="549">
        <f ca="1">IFERROR(VLOOKUP(CJ3+1,INDIRECT('Lookup Tables'!$K$4),3,FALSE),0)</f>
        <v>0</v>
      </c>
      <c r="CK37" s="549">
        <f ca="1">IFERROR(VLOOKUP(CK3+1,INDIRECT('Lookup Tables'!$K$4),3,FALSE),0)</f>
        <v>0</v>
      </c>
      <c r="CL37" s="549">
        <f ca="1">IFERROR(VLOOKUP(CL3+1,INDIRECT('Lookup Tables'!$K$4),3,FALSE),0)</f>
        <v>0</v>
      </c>
      <c r="CM37" s="549">
        <f ca="1">IFERROR(VLOOKUP(CM3+1,INDIRECT('Lookup Tables'!$K$4),3,FALSE),0)</f>
        <v>0</v>
      </c>
      <c r="CN37" s="549">
        <f ca="1">IFERROR(VLOOKUP(CN3+1,INDIRECT('Lookup Tables'!$K$4),3,FALSE),0)</f>
        <v>0</v>
      </c>
      <c r="CO37" s="549">
        <f ca="1">IFERROR(VLOOKUP(CO3+1,INDIRECT('Lookup Tables'!$K$4),3,FALSE),0)</f>
        <v>0</v>
      </c>
      <c r="CP37" s="549">
        <f ca="1">IFERROR(VLOOKUP(CP3+1,INDIRECT('Lookup Tables'!$K$4),3,FALSE),0)</f>
        <v>0</v>
      </c>
      <c r="CQ37" s="549">
        <f ca="1">IFERROR(VLOOKUP(CQ3+1,INDIRECT('Lookup Tables'!$K$4),3,FALSE),0)</f>
        <v>0</v>
      </c>
      <c r="CR37" s="549">
        <f ca="1">IFERROR(VLOOKUP(CR3+1,INDIRECT('Lookup Tables'!$K$4),3,FALSE),0)</f>
        <v>0</v>
      </c>
      <c r="CS37" s="549">
        <f ca="1">IFERROR(VLOOKUP(CS3+1,INDIRECT('Lookup Tables'!$K$4),3,FALSE),0)</f>
        <v>0</v>
      </c>
      <c r="CT37" s="549">
        <f ca="1">IFERROR(VLOOKUP(CT3+1,INDIRECT('Lookup Tables'!$K$4),3,FALSE),0)</f>
        <v>0</v>
      </c>
      <c r="CU37" s="549">
        <f ca="1">IFERROR(VLOOKUP(CU3+1,INDIRECT('Lookup Tables'!$K$4),3,FALSE),0)</f>
        <v>0</v>
      </c>
      <c r="CV37" s="549">
        <f ca="1">IFERROR(VLOOKUP(CV3+1,INDIRECT('Lookup Tables'!$K$4),3,FALSE),0)</f>
        <v>0</v>
      </c>
      <c r="CW37" s="549">
        <f ca="1">IFERROR(VLOOKUP(CW3+1,INDIRECT('Lookup Tables'!$K$4),3,FALSE),0)</f>
        <v>0</v>
      </c>
      <c r="CX37" s="549">
        <f ca="1">IFERROR(VLOOKUP(CX3+1,INDIRECT('Lookup Tables'!$K$4),3,FALSE),0)</f>
        <v>0</v>
      </c>
      <c r="CY37" s="562">
        <f ca="1">IFERROR(VLOOKUP(CY3+1,INDIRECT('Lookup Tables'!$K$4),3,FALSE),0)</f>
        <v>0</v>
      </c>
    </row>
    <row r="38" spans="1:103" ht="15" customHeight="1" x14ac:dyDescent="0.3">
      <c r="A38" s="880"/>
      <c r="B38" s="346" t="s">
        <v>259</v>
      </c>
      <c r="C38" s="685">
        <f ca="1">SUM(D38:CY38)</f>
        <v>0</v>
      </c>
      <c r="D38" s="549">
        <f ca="1">VLOOKUP(D3,INDIRECT('Lookup Tables'!$K$4),5,FALSE)</f>
        <v>0</v>
      </c>
      <c r="E38" s="549">
        <f ca="1">IFERROR(VLOOKUP(E3+1,INDIRECT('Lookup Tables'!$K$4),5,FALSE),0)</f>
        <v>0</v>
      </c>
      <c r="F38" s="549">
        <f ca="1">IFERROR(VLOOKUP(F3+1,INDIRECT('Lookup Tables'!$K$4),5,FALSE),0)</f>
        <v>0</v>
      </c>
      <c r="G38" s="549">
        <f ca="1">IFERROR(VLOOKUP(G3+1,INDIRECT('Lookup Tables'!$K$4),5,FALSE),0)</f>
        <v>0</v>
      </c>
      <c r="H38" s="549">
        <f ca="1">IFERROR(VLOOKUP(H3+1,INDIRECT('Lookup Tables'!$K$4),5,FALSE),0)</f>
        <v>0</v>
      </c>
      <c r="I38" s="549">
        <f ca="1">IFERROR(VLOOKUP(I3+1,INDIRECT('Lookup Tables'!$K$4),5,FALSE),0)</f>
        <v>0</v>
      </c>
      <c r="J38" s="549">
        <f ca="1">IFERROR(VLOOKUP(J3+1,INDIRECT('Lookup Tables'!$K$4),5,FALSE),0)</f>
        <v>0</v>
      </c>
      <c r="K38" s="549">
        <f ca="1">IFERROR(VLOOKUP(K3+1,INDIRECT('Lookup Tables'!$K$4),5,FALSE),0)</f>
        <v>0</v>
      </c>
      <c r="L38" s="549">
        <f ca="1">IFERROR(VLOOKUP(L3+1,INDIRECT('Lookup Tables'!$K$4),5,FALSE),0)</f>
        <v>0</v>
      </c>
      <c r="M38" s="549">
        <f ca="1">IFERROR(VLOOKUP(M3+1,INDIRECT('Lookup Tables'!$K$4),5,FALSE),0)</f>
        <v>0</v>
      </c>
      <c r="N38" s="549">
        <f ca="1">IFERROR(VLOOKUP(N3+1,INDIRECT('Lookup Tables'!$K$4),5,FALSE),0)</f>
        <v>0</v>
      </c>
      <c r="O38" s="549">
        <f ca="1">IFERROR(VLOOKUP(O3+1,INDIRECT('Lookup Tables'!$K$4),5,FALSE),0)</f>
        <v>0</v>
      </c>
      <c r="P38" s="549">
        <f ca="1">IFERROR(VLOOKUP(P3+1,INDIRECT('Lookup Tables'!$K$4),5,FALSE),0)</f>
        <v>0</v>
      </c>
      <c r="Q38" s="549">
        <f ca="1">IFERROR(VLOOKUP(Q3+1,INDIRECT('Lookup Tables'!$K$4),5,FALSE),0)</f>
        <v>0</v>
      </c>
      <c r="R38" s="549">
        <f ca="1">IFERROR(VLOOKUP(R3+1,INDIRECT('Lookup Tables'!$K$4),5,FALSE),0)</f>
        <v>0</v>
      </c>
      <c r="S38" s="549">
        <f ca="1">IFERROR(VLOOKUP(S3+1,INDIRECT('Lookup Tables'!$K$4),5,FALSE),0)</f>
        <v>0</v>
      </c>
      <c r="T38" s="549">
        <f ca="1">IFERROR(VLOOKUP(T3+1,INDIRECT('Lookup Tables'!$K$4),5,FALSE),0)</f>
        <v>0</v>
      </c>
      <c r="U38" s="549">
        <f ca="1">IFERROR(VLOOKUP(U3+1,INDIRECT('Lookup Tables'!$K$4),5,FALSE),0)</f>
        <v>0</v>
      </c>
      <c r="V38" s="549">
        <f ca="1">IFERROR(VLOOKUP(V3+1,INDIRECT('Lookup Tables'!$K$4),5,FALSE),0)</f>
        <v>0</v>
      </c>
      <c r="W38" s="549">
        <f ca="1">IFERROR(VLOOKUP(W3+1,INDIRECT('Lookup Tables'!$K$4),5,FALSE),0)</f>
        <v>0</v>
      </c>
      <c r="X38" s="549">
        <f ca="1">IFERROR(VLOOKUP(X3+1,INDIRECT('Lookup Tables'!$K$4),5,FALSE),0)</f>
        <v>0</v>
      </c>
      <c r="Y38" s="549">
        <f ca="1">IFERROR(VLOOKUP(Y3+1,INDIRECT('Lookup Tables'!$K$4),5,FALSE),0)</f>
        <v>0</v>
      </c>
      <c r="Z38" s="549">
        <f ca="1">IFERROR(VLOOKUP(Z3+1,INDIRECT('Lookup Tables'!$K$4),5,FALSE),0)</f>
        <v>0</v>
      </c>
      <c r="AA38" s="549">
        <f ca="1">IFERROR(VLOOKUP(AA3+1,INDIRECT('Lookup Tables'!$K$4),5,FALSE),0)</f>
        <v>0</v>
      </c>
      <c r="AB38" s="549">
        <f ca="1">IFERROR(VLOOKUP(AB3+1,INDIRECT('Lookup Tables'!$K$4),5,FALSE),0)</f>
        <v>0</v>
      </c>
      <c r="AC38" s="549">
        <f ca="1">IFERROR(VLOOKUP(AC3+1,INDIRECT('Lookup Tables'!$K$4),5,FALSE),0)</f>
        <v>0</v>
      </c>
      <c r="AD38" s="549">
        <f ca="1">IFERROR(VLOOKUP(AD3+1,INDIRECT('Lookup Tables'!$K$4),5,FALSE),0)</f>
        <v>0</v>
      </c>
      <c r="AE38" s="549">
        <f ca="1">IFERROR(VLOOKUP(AE3+1,INDIRECT('Lookup Tables'!$K$4),5,FALSE),0)</f>
        <v>0</v>
      </c>
      <c r="AF38" s="549">
        <f ca="1">IFERROR(VLOOKUP(AF3+1,INDIRECT('Lookup Tables'!$K$4),5,FALSE),0)</f>
        <v>0</v>
      </c>
      <c r="AG38" s="549">
        <f ca="1">IFERROR(VLOOKUP(AG3+1,INDIRECT('Lookup Tables'!$K$4),5,FALSE),0)</f>
        <v>0</v>
      </c>
      <c r="AH38" s="549">
        <f ca="1">IFERROR(VLOOKUP(AH3+1,INDIRECT('Lookup Tables'!$K$4),5,FALSE),0)</f>
        <v>0</v>
      </c>
      <c r="AI38" s="549">
        <f ca="1">IFERROR(VLOOKUP(AI3+1,INDIRECT('Lookup Tables'!$K$4),5,FALSE),0)</f>
        <v>0</v>
      </c>
      <c r="AJ38" s="549">
        <f ca="1">IFERROR(VLOOKUP(AJ3+1,INDIRECT('Lookup Tables'!$K$4),5,FALSE),0)</f>
        <v>0</v>
      </c>
      <c r="AK38" s="549">
        <f ca="1">IFERROR(VLOOKUP(AK3+1,INDIRECT('Lookup Tables'!$K$4),5,FALSE),0)</f>
        <v>0</v>
      </c>
      <c r="AL38" s="549">
        <f ca="1">IFERROR(VLOOKUP(AL3+1,INDIRECT('Lookup Tables'!$K$4),5,FALSE),0)</f>
        <v>0</v>
      </c>
      <c r="AM38" s="549">
        <f ca="1">IFERROR(VLOOKUP(AM3+1,INDIRECT('Lookup Tables'!$K$4),5,FALSE),0)</f>
        <v>0</v>
      </c>
      <c r="AN38" s="549">
        <f ca="1">IFERROR(VLOOKUP(AN3+1,INDIRECT('Lookup Tables'!$K$4),5,FALSE),0)</f>
        <v>0</v>
      </c>
      <c r="AO38" s="553">
        <f ca="1">IFERROR(VLOOKUP(AO3+1,INDIRECT('Lookup Tables'!$K$4),5,FALSE),0)</f>
        <v>0</v>
      </c>
      <c r="AP38" s="549">
        <f ca="1">IFERROR(VLOOKUP(AP3+1,INDIRECT('Lookup Tables'!$K$4),5,FALSE),0)</f>
        <v>0</v>
      </c>
      <c r="AQ38" s="549">
        <f ca="1">IFERROR(VLOOKUP(AQ3+1,INDIRECT('Lookup Tables'!$K$4),5,FALSE),0)</f>
        <v>0</v>
      </c>
      <c r="AR38" s="549">
        <f ca="1">IFERROR(VLOOKUP(AR3+1,INDIRECT('Lookup Tables'!$K$4),5,FALSE),0)</f>
        <v>0</v>
      </c>
      <c r="AS38" s="549">
        <f ca="1">IFERROR(VLOOKUP(AS3+1,INDIRECT('Lookup Tables'!$K$4),5,FALSE),0)</f>
        <v>0</v>
      </c>
      <c r="AT38" s="549">
        <f ca="1">IFERROR(VLOOKUP(AT3+1,INDIRECT('Lookup Tables'!$K$4),5,FALSE),0)</f>
        <v>0</v>
      </c>
      <c r="AU38" s="549">
        <f ca="1">IFERROR(VLOOKUP(AU3+1,INDIRECT('Lookup Tables'!$K$4),5,FALSE),0)</f>
        <v>0</v>
      </c>
      <c r="AV38" s="549">
        <f ca="1">IFERROR(VLOOKUP(AV3+1,INDIRECT('Lookup Tables'!$K$4),5,FALSE),0)</f>
        <v>0</v>
      </c>
      <c r="AW38" s="549">
        <f ca="1">IFERROR(VLOOKUP(AW3+1,INDIRECT('Lookup Tables'!$K$4),5,FALSE),0)</f>
        <v>0</v>
      </c>
      <c r="AX38" s="549">
        <f ca="1">IFERROR(VLOOKUP(AX3+1,INDIRECT('Lookup Tables'!$K$4),5,FALSE),0)</f>
        <v>0</v>
      </c>
      <c r="AY38" s="549">
        <f ca="1">IFERROR(VLOOKUP(AY3+1,INDIRECT('Lookup Tables'!$K$4),5,FALSE),0)</f>
        <v>0</v>
      </c>
      <c r="AZ38" s="549">
        <f ca="1">IFERROR(VLOOKUP(AZ3+1,INDIRECT('Lookup Tables'!$K$4),5,FALSE),0)</f>
        <v>0</v>
      </c>
      <c r="BA38" s="549">
        <f ca="1">IFERROR(VLOOKUP(BA3+1,INDIRECT('Lookup Tables'!$K$4),5,FALSE),0)</f>
        <v>0</v>
      </c>
      <c r="BB38" s="549">
        <f ca="1">IFERROR(VLOOKUP(BB3+1,INDIRECT('Lookup Tables'!$K$4),5,FALSE),0)</f>
        <v>0</v>
      </c>
      <c r="BC38" s="549">
        <f ca="1">IFERROR(VLOOKUP(BC3+1,INDIRECT('Lookup Tables'!$K$4),5,FALSE),0)</f>
        <v>0</v>
      </c>
      <c r="BD38" s="549">
        <f ca="1">IFERROR(VLOOKUP(BD3+1,INDIRECT('Lookup Tables'!$K$4),5,FALSE),0)</f>
        <v>0</v>
      </c>
      <c r="BE38" s="549">
        <f ca="1">IFERROR(VLOOKUP(BE3+1,INDIRECT('Lookup Tables'!$K$4),5,FALSE),0)</f>
        <v>0</v>
      </c>
      <c r="BF38" s="549">
        <f ca="1">IFERROR(VLOOKUP(BF3+1,INDIRECT('Lookup Tables'!$K$4),5,FALSE),0)</f>
        <v>0</v>
      </c>
      <c r="BG38" s="549">
        <f ca="1">IFERROR(VLOOKUP(BG3+1,INDIRECT('Lookup Tables'!$K$4),5,FALSE),0)</f>
        <v>0</v>
      </c>
      <c r="BH38" s="549">
        <f ca="1">IFERROR(VLOOKUP(BH3+1,INDIRECT('Lookup Tables'!$K$4),5,FALSE),0)</f>
        <v>0</v>
      </c>
      <c r="BI38" s="549">
        <f ca="1">IFERROR(VLOOKUP(BI3+1,INDIRECT('Lookup Tables'!$K$4),5,FALSE),0)</f>
        <v>0</v>
      </c>
      <c r="BJ38" s="549">
        <f ca="1">IFERROR(VLOOKUP(BJ3+1,INDIRECT('Lookup Tables'!$K$4),5,FALSE),0)</f>
        <v>0</v>
      </c>
      <c r="BK38" s="553">
        <f ca="1">IFERROR(VLOOKUP(BK3+1,INDIRECT('Lookup Tables'!$K$4),5,FALSE),0)</f>
        <v>0</v>
      </c>
      <c r="BL38" s="549">
        <f ca="1">IFERROR(VLOOKUP(BL3+1,INDIRECT('Lookup Tables'!$K$4),5,FALSE),0)</f>
        <v>0</v>
      </c>
      <c r="BM38" s="549">
        <f ca="1">IFERROR(VLOOKUP(BM3+1,INDIRECT('Lookup Tables'!$K$4),5,FALSE),0)</f>
        <v>0</v>
      </c>
      <c r="BN38" s="549">
        <f ca="1">IFERROR(VLOOKUP(BN3+1,INDIRECT('Lookup Tables'!$K$4),5,FALSE),0)</f>
        <v>0</v>
      </c>
      <c r="BO38" s="549">
        <f ca="1">IFERROR(VLOOKUP(BO3+1,INDIRECT('Lookup Tables'!$K$4),5,FALSE),0)</f>
        <v>0</v>
      </c>
      <c r="BP38" s="549">
        <f ca="1">IFERROR(VLOOKUP(BP3+1,INDIRECT('Lookup Tables'!$K$4),5,FALSE),0)</f>
        <v>0</v>
      </c>
      <c r="BQ38" s="549">
        <f ca="1">IFERROR(VLOOKUP(BQ3+1,INDIRECT('Lookup Tables'!$K$4),5,FALSE),0)</f>
        <v>0</v>
      </c>
      <c r="BR38" s="549">
        <f ca="1">IFERROR(VLOOKUP(BR3+1,INDIRECT('Lookup Tables'!$K$4),5,FALSE),0)</f>
        <v>0</v>
      </c>
      <c r="BS38" s="549">
        <f ca="1">IFERROR(VLOOKUP(BS3+1,INDIRECT('Lookup Tables'!$K$4),5,FALSE),0)</f>
        <v>0</v>
      </c>
      <c r="BT38" s="549">
        <f ca="1">IFERROR(VLOOKUP(BT3+1,INDIRECT('Lookup Tables'!$K$4),5,FALSE),0)</f>
        <v>0</v>
      </c>
      <c r="BU38" s="549">
        <f ca="1">IFERROR(VLOOKUP(BU3+1,INDIRECT('Lookup Tables'!$K$4),5,FALSE),0)</f>
        <v>0</v>
      </c>
      <c r="BV38" s="549">
        <f ca="1">IFERROR(VLOOKUP(BV3+1,INDIRECT('Lookup Tables'!$K$4),5,FALSE),0)</f>
        <v>0</v>
      </c>
      <c r="BW38" s="549">
        <f ca="1">IFERROR(VLOOKUP(BW3+1,INDIRECT('Lookup Tables'!$K$4),5,FALSE),0)</f>
        <v>0</v>
      </c>
      <c r="BX38" s="549">
        <f ca="1">IFERROR(VLOOKUP(BX3+1,INDIRECT('Lookup Tables'!$K$4),5,FALSE),0)</f>
        <v>0</v>
      </c>
      <c r="BY38" s="549">
        <f ca="1">IFERROR(VLOOKUP(BY3+1,INDIRECT('Lookup Tables'!$K$4),5,FALSE),0)</f>
        <v>0</v>
      </c>
      <c r="BZ38" s="549">
        <f ca="1">IFERROR(VLOOKUP(BZ3+1,INDIRECT('Lookup Tables'!$K$4),5,FALSE),0)</f>
        <v>0</v>
      </c>
      <c r="CA38" s="553">
        <f ca="1">IFERROR(VLOOKUP(CA3+1,INDIRECT('Lookup Tables'!$K$4),5,FALSE),0)</f>
        <v>0</v>
      </c>
      <c r="CB38" s="549">
        <f ca="1">IFERROR(VLOOKUP(CB3+1,INDIRECT('Lookup Tables'!$K$4),5,FALSE),0)</f>
        <v>0</v>
      </c>
      <c r="CC38" s="549">
        <f ca="1">IFERROR(VLOOKUP(CC3+1,INDIRECT('Lookup Tables'!$K$4),5,FALSE),0)</f>
        <v>0</v>
      </c>
      <c r="CD38" s="549">
        <f ca="1">IFERROR(VLOOKUP(CD3+1,INDIRECT('Lookup Tables'!$K$4),5,FALSE),0)</f>
        <v>0</v>
      </c>
      <c r="CE38" s="549">
        <f ca="1">IFERROR(VLOOKUP(CE3+1,INDIRECT('Lookup Tables'!$K$4),5,FALSE),0)</f>
        <v>0</v>
      </c>
      <c r="CF38" s="549">
        <f ca="1">IFERROR(VLOOKUP(CF3+1,INDIRECT('Lookup Tables'!$K$4),5,FALSE),0)</f>
        <v>0</v>
      </c>
      <c r="CG38" s="549">
        <f ca="1">IFERROR(VLOOKUP(CG3+1,INDIRECT('Lookup Tables'!$K$4),5,FALSE),0)</f>
        <v>0</v>
      </c>
      <c r="CH38" s="549">
        <f ca="1">IFERROR(VLOOKUP(CH3+1,INDIRECT('Lookup Tables'!$K$4),5,FALSE),0)</f>
        <v>0</v>
      </c>
      <c r="CI38" s="549">
        <f ca="1">IFERROR(VLOOKUP(CI3+1,INDIRECT('Lookup Tables'!$K$4),5,FALSE),0)</f>
        <v>0</v>
      </c>
      <c r="CJ38" s="549">
        <f ca="1">IFERROR(VLOOKUP(CJ3+1,INDIRECT('Lookup Tables'!$K$4),5,FALSE),0)</f>
        <v>0</v>
      </c>
      <c r="CK38" s="549">
        <f ca="1">IFERROR(VLOOKUP(CK3+1,INDIRECT('Lookup Tables'!$K$4),5,FALSE),0)</f>
        <v>0</v>
      </c>
      <c r="CL38" s="549">
        <f ca="1">IFERROR(VLOOKUP(CL3+1,INDIRECT('Lookup Tables'!$K$4),5,FALSE),0)</f>
        <v>0</v>
      </c>
      <c r="CM38" s="549">
        <f ca="1">IFERROR(VLOOKUP(CM3+1,INDIRECT('Lookup Tables'!$K$4),5,FALSE),0)</f>
        <v>0</v>
      </c>
      <c r="CN38" s="549">
        <f ca="1">IFERROR(VLOOKUP(CN3+1,INDIRECT('Lookup Tables'!$K$4),5,FALSE),0)</f>
        <v>0</v>
      </c>
      <c r="CO38" s="549">
        <f ca="1">IFERROR(VLOOKUP(CO3+1,INDIRECT('Lookup Tables'!$K$4),5,FALSE),0)</f>
        <v>0</v>
      </c>
      <c r="CP38" s="549">
        <f ca="1">IFERROR(VLOOKUP(CP3+1,INDIRECT('Lookup Tables'!$K$4),5,FALSE),0)</f>
        <v>0</v>
      </c>
      <c r="CQ38" s="549">
        <f ca="1">IFERROR(VLOOKUP(CQ3+1,INDIRECT('Lookup Tables'!$K$4),5,FALSE),0)</f>
        <v>0</v>
      </c>
      <c r="CR38" s="549">
        <f ca="1">IFERROR(VLOOKUP(CR3+1,INDIRECT('Lookup Tables'!$K$4),5,FALSE),0)</f>
        <v>0</v>
      </c>
      <c r="CS38" s="549">
        <f ca="1">IFERROR(VLOOKUP(CS3+1,INDIRECT('Lookup Tables'!$K$4),5,FALSE),0)</f>
        <v>0</v>
      </c>
      <c r="CT38" s="549">
        <f ca="1">IFERROR(VLOOKUP(CT3+1,INDIRECT('Lookup Tables'!$K$4),5,FALSE),0)</f>
        <v>0</v>
      </c>
      <c r="CU38" s="549">
        <f ca="1">IFERROR(VLOOKUP(CU3+1,INDIRECT('Lookup Tables'!$K$4),5,FALSE),0)</f>
        <v>0</v>
      </c>
      <c r="CV38" s="549">
        <f ca="1">IFERROR(VLOOKUP(CV3+1,INDIRECT('Lookup Tables'!$K$4),5,FALSE),0)</f>
        <v>0</v>
      </c>
      <c r="CW38" s="549">
        <f ca="1">IFERROR(VLOOKUP(CW3+1,INDIRECT('Lookup Tables'!$K$4),5,FALSE),0)</f>
        <v>0</v>
      </c>
      <c r="CX38" s="549">
        <f ca="1">IFERROR(VLOOKUP(CX3+1,INDIRECT('Lookup Tables'!$K$4),5,FALSE),0)</f>
        <v>0</v>
      </c>
      <c r="CY38" s="562">
        <f ca="1">IFERROR(VLOOKUP(CY3+1,INDIRECT('Lookup Tables'!$K$4),5,FALSE),0)</f>
        <v>0</v>
      </c>
    </row>
    <row r="39" spans="1:103" ht="15" customHeight="1" x14ac:dyDescent="0.3">
      <c r="A39" s="880"/>
      <c r="B39" s="346" t="s">
        <v>544</v>
      </c>
      <c r="C39" s="685">
        <f ca="1">SUM(D39:CY39)</f>
        <v>2117</v>
      </c>
      <c r="D39" s="549">
        <f ca="1">VLOOKUP(D3,INDIRECT('Lookup Tables'!$K$4),6,FALSE)</f>
        <v>2117</v>
      </c>
      <c r="E39" s="549">
        <f ca="1">IFERROR(VLOOKUP(E3+1,INDIRECT('Lookup Tables'!$K$4),6,FALSE),0)</f>
        <v>0</v>
      </c>
      <c r="F39" s="549">
        <f ca="1">IFERROR(VLOOKUP(F3+1,INDIRECT('Lookup Tables'!$K$4),6,FALSE),0)</f>
        <v>0</v>
      </c>
      <c r="G39" s="549">
        <f ca="1">IFERROR(VLOOKUP(G3+1,INDIRECT('Lookup Tables'!$K$4),6,FALSE),0)</f>
        <v>0</v>
      </c>
      <c r="H39" s="549">
        <f ca="1">IFERROR(VLOOKUP(H3+1,INDIRECT('Lookup Tables'!$K$4),6,FALSE),0)</f>
        <v>0</v>
      </c>
      <c r="I39" s="549">
        <f ca="1">IFERROR(VLOOKUP(I3+1,INDIRECT('Lookup Tables'!$K$4),6,FALSE),0)</f>
        <v>0</v>
      </c>
      <c r="J39" s="549">
        <f ca="1">IFERROR(VLOOKUP(J3+1,INDIRECT('Lookup Tables'!$K$4),6,FALSE),0)</f>
        <v>0</v>
      </c>
      <c r="K39" s="549">
        <f ca="1">IFERROR(VLOOKUP(K3+1,INDIRECT('Lookup Tables'!$K$4),6,FALSE),0)</f>
        <v>0</v>
      </c>
      <c r="L39" s="549">
        <f ca="1">IFERROR(VLOOKUP(L3+1,INDIRECT('Lookup Tables'!$K$4),6,FALSE),0)</f>
        <v>0</v>
      </c>
      <c r="M39" s="549">
        <f ca="1">IFERROR(VLOOKUP(M3+1,INDIRECT('Lookup Tables'!$K$4),6,FALSE),0)</f>
        <v>0</v>
      </c>
      <c r="N39" s="549">
        <f ca="1">IFERROR(VLOOKUP(N3+1,INDIRECT('Lookup Tables'!$K$4),6,FALSE),0)</f>
        <v>0</v>
      </c>
      <c r="O39" s="549">
        <f ca="1">IFERROR(VLOOKUP(O3+1,INDIRECT('Lookup Tables'!$K$4),6,FALSE),0)</f>
        <v>0</v>
      </c>
      <c r="P39" s="549">
        <f ca="1">IFERROR(VLOOKUP(P3+1,INDIRECT('Lookup Tables'!$K$4),6,FALSE),0)</f>
        <v>0</v>
      </c>
      <c r="Q39" s="549">
        <f ca="1">IFERROR(VLOOKUP(Q3+1,INDIRECT('Lookup Tables'!$K$4),6,FALSE),0)</f>
        <v>0</v>
      </c>
      <c r="R39" s="549">
        <f ca="1">IFERROR(VLOOKUP(R3+1,INDIRECT('Lookup Tables'!$K$4),6,FALSE),0)</f>
        <v>0</v>
      </c>
      <c r="S39" s="549">
        <f ca="1">IFERROR(VLOOKUP(S3+1,INDIRECT('Lookup Tables'!$K$4),6,FALSE),0)</f>
        <v>0</v>
      </c>
      <c r="T39" s="549">
        <f ca="1">IFERROR(VLOOKUP(T3+1,INDIRECT('Lookup Tables'!$K$4),6,FALSE),0)</f>
        <v>0</v>
      </c>
      <c r="U39" s="549">
        <f ca="1">IFERROR(VLOOKUP(U3+1,INDIRECT('Lookup Tables'!$K$4),6,FALSE),0)</f>
        <v>0</v>
      </c>
      <c r="V39" s="549">
        <f ca="1">IFERROR(VLOOKUP(V3+1,INDIRECT('Lookup Tables'!$K$4),6,FALSE),0)</f>
        <v>0</v>
      </c>
      <c r="W39" s="549">
        <f ca="1">IFERROR(VLOOKUP(W3+1,INDIRECT('Lookup Tables'!$K$4),6,FALSE),0)</f>
        <v>0</v>
      </c>
      <c r="X39" s="549">
        <f ca="1">IFERROR(VLOOKUP(X3+1,INDIRECT('Lookup Tables'!$K$4),6,FALSE),0)</f>
        <v>0</v>
      </c>
      <c r="Y39" s="549">
        <f ca="1">IFERROR(VLOOKUP(Y3+1,INDIRECT('Lookup Tables'!$K$4),6,FALSE),0)</f>
        <v>0</v>
      </c>
      <c r="Z39" s="549">
        <f ca="1">IFERROR(VLOOKUP(Z3+1,INDIRECT('Lookup Tables'!$K$4),6,FALSE),0)</f>
        <v>0</v>
      </c>
      <c r="AA39" s="549">
        <f ca="1">IFERROR(VLOOKUP(AA3+1,INDIRECT('Lookup Tables'!$K$4),6,FALSE),0)</f>
        <v>0</v>
      </c>
      <c r="AB39" s="549">
        <f ca="1">IFERROR(VLOOKUP(AB3+1,INDIRECT('Lookup Tables'!$K$4),6,FALSE),0)</f>
        <v>0</v>
      </c>
      <c r="AC39" s="549">
        <f ca="1">IFERROR(VLOOKUP(AC3+1,INDIRECT('Lookup Tables'!$K$4),6,FALSE),0)</f>
        <v>0</v>
      </c>
      <c r="AD39" s="549">
        <f ca="1">IFERROR(VLOOKUP(AD3+1,INDIRECT('Lookup Tables'!$K$4),6,FALSE),0)</f>
        <v>0</v>
      </c>
      <c r="AE39" s="549">
        <f ca="1">IFERROR(VLOOKUP(AE3+1,INDIRECT('Lookup Tables'!$K$4),6,FALSE),0)</f>
        <v>0</v>
      </c>
      <c r="AF39" s="549">
        <f ca="1">IFERROR(VLOOKUP(AF3+1,INDIRECT('Lookup Tables'!$K$4),6,FALSE),0)</f>
        <v>0</v>
      </c>
      <c r="AG39" s="549">
        <f ca="1">IFERROR(VLOOKUP(AG3+1,INDIRECT('Lookup Tables'!$K$4),6,FALSE),0)</f>
        <v>0</v>
      </c>
      <c r="AH39" s="549">
        <f ca="1">IFERROR(VLOOKUP(AH3+1,INDIRECT('Lookup Tables'!$K$4),6,FALSE),0)</f>
        <v>0</v>
      </c>
      <c r="AI39" s="549">
        <f ca="1">IFERROR(VLOOKUP(AI3+1,INDIRECT('Lookup Tables'!$K$4),6,FALSE),0)</f>
        <v>0</v>
      </c>
      <c r="AJ39" s="549">
        <f ca="1">IFERROR(VLOOKUP(AJ3+1,INDIRECT('Lookup Tables'!$K$4),6,FALSE),0)</f>
        <v>0</v>
      </c>
      <c r="AK39" s="549">
        <f ca="1">IFERROR(VLOOKUP(AK3+1,INDIRECT('Lookup Tables'!$K$4),6,FALSE),0)</f>
        <v>0</v>
      </c>
      <c r="AL39" s="549">
        <f ca="1">IFERROR(VLOOKUP(AL3+1,INDIRECT('Lookup Tables'!$K$4),6,FALSE),0)</f>
        <v>0</v>
      </c>
      <c r="AM39" s="549">
        <f ca="1">IFERROR(VLOOKUP(AM3+1,INDIRECT('Lookup Tables'!$K$4),6,FALSE),0)</f>
        <v>0</v>
      </c>
      <c r="AN39" s="549">
        <f ca="1">IFERROR(VLOOKUP(AN3+1,INDIRECT('Lookup Tables'!$K$4),6,FALSE),0)</f>
        <v>0</v>
      </c>
      <c r="AO39" s="553">
        <f ca="1">IFERROR(VLOOKUP(AO3+1,INDIRECT('Lookup Tables'!$K$4),6,FALSE),0)</f>
        <v>0</v>
      </c>
      <c r="AP39" s="549">
        <f ca="1">IFERROR(VLOOKUP(AP3+1,INDIRECT('Lookup Tables'!$K$4),6,FALSE),0)</f>
        <v>0</v>
      </c>
      <c r="AQ39" s="549">
        <f ca="1">IFERROR(VLOOKUP(AQ3+1,INDIRECT('Lookup Tables'!$K$4),6,FALSE),0)</f>
        <v>0</v>
      </c>
      <c r="AR39" s="549">
        <f ca="1">IFERROR(VLOOKUP(AR3+1,INDIRECT('Lookup Tables'!$K$4),6,FALSE),0)</f>
        <v>0</v>
      </c>
      <c r="AS39" s="549">
        <f ca="1">IFERROR(VLOOKUP(AS3+1,INDIRECT('Lookup Tables'!$K$4),6,FALSE),0)</f>
        <v>0</v>
      </c>
      <c r="AT39" s="549">
        <f ca="1">IFERROR(VLOOKUP(AT3+1,INDIRECT('Lookup Tables'!$K$4),6,FALSE),0)</f>
        <v>0</v>
      </c>
      <c r="AU39" s="549">
        <f ca="1">IFERROR(VLOOKUP(AU3+1,INDIRECT('Lookup Tables'!$K$4),6,FALSE),0)</f>
        <v>0</v>
      </c>
      <c r="AV39" s="549">
        <f ca="1">IFERROR(VLOOKUP(AV3+1,INDIRECT('Lookup Tables'!$K$4),6,FALSE),0)</f>
        <v>0</v>
      </c>
      <c r="AW39" s="549">
        <f ca="1">IFERROR(VLOOKUP(AW3+1,INDIRECT('Lookup Tables'!$K$4),6,FALSE),0)</f>
        <v>0</v>
      </c>
      <c r="AX39" s="549">
        <f ca="1">IFERROR(VLOOKUP(AX3+1,INDIRECT('Lookup Tables'!$K$4),6,FALSE),0)</f>
        <v>0</v>
      </c>
      <c r="AY39" s="549">
        <f ca="1">IFERROR(VLOOKUP(AY3+1,INDIRECT('Lookup Tables'!$K$4),6,FALSE),0)</f>
        <v>0</v>
      </c>
      <c r="AZ39" s="549">
        <f ca="1">IFERROR(VLOOKUP(AZ3+1,INDIRECT('Lookup Tables'!$K$4),6,FALSE),0)</f>
        <v>0</v>
      </c>
      <c r="BA39" s="549">
        <f ca="1">IFERROR(VLOOKUP(BA3+1,INDIRECT('Lookup Tables'!$K$4),6,FALSE),0)</f>
        <v>0</v>
      </c>
      <c r="BB39" s="549">
        <f ca="1">IFERROR(VLOOKUP(BB3+1,INDIRECT('Lookup Tables'!$K$4),6,FALSE),0)</f>
        <v>0</v>
      </c>
      <c r="BC39" s="549">
        <f ca="1">IFERROR(VLOOKUP(BC3+1,INDIRECT('Lookup Tables'!$K$4),6,FALSE),0)</f>
        <v>0</v>
      </c>
      <c r="BD39" s="549">
        <f ca="1">IFERROR(VLOOKUP(BD3+1,INDIRECT('Lookup Tables'!$K$4),6,FALSE),0)</f>
        <v>0</v>
      </c>
      <c r="BE39" s="549">
        <f ca="1">IFERROR(VLOOKUP(BE3+1,INDIRECT('Lookup Tables'!$K$4),6,FALSE),0)</f>
        <v>0</v>
      </c>
      <c r="BF39" s="549">
        <f ca="1">IFERROR(VLOOKUP(BF3+1,INDIRECT('Lookup Tables'!$K$4),6,FALSE),0)</f>
        <v>0</v>
      </c>
      <c r="BG39" s="549">
        <f ca="1">IFERROR(VLOOKUP(BG3+1,INDIRECT('Lookup Tables'!$K$4),6,FALSE),0)</f>
        <v>0</v>
      </c>
      <c r="BH39" s="549">
        <f ca="1">IFERROR(VLOOKUP(BH3+1,INDIRECT('Lookup Tables'!$K$4),6,FALSE),0)</f>
        <v>0</v>
      </c>
      <c r="BI39" s="549">
        <f ca="1">IFERROR(VLOOKUP(BI3+1,INDIRECT('Lookup Tables'!$K$4),6,FALSE),0)</f>
        <v>0</v>
      </c>
      <c r="BJ39" s="549">
        <f ca="1">IFERROR(VLOOKUP(BJ3+1,INDIRECT('Lookup Tables'!$K$4),6,FALSE),0)</f>
        <v>0</v>
      </c>
      <c r="BK39" s="553">
        <f ca="1">IFERROR(VLOOKUP(BK3+1,INDIRECT('Lookup Tables'!$K$4),6,FALSE),0)</f>
        <v>0</v>
      </c>
      <c r="BL39" s="549">
        <f ca="1">IFERROR(VLOOKUP(BL3+1,INDIRECT('Lookup Tables'!$K$4),6,FALSE),0)</f>
        <v>0</v>
      </c>
      <c r="BM39" s="549">
        <f ca="1">IFERROR(VLOOKUP(BM3+1,INDIRECT('Lookup Tables'!$K$4),6,FALSE),0)</f>
        <v>0</v>
      </c>
      <c r="BN39" s="549">
        <f ca="1">IFERROR(VLOOKUP(BN3+1,INDIRECT('Lookup Tables'!$K$4),6,FALSE),0)</f>
        <v>0</v>
      </c>
      <c r="BO39" s="549">
        <f ca="1">IFERROR(VLOOKUP(BO3+1,INDIRECT('Lookup Tables'!$K$4),6,FALSE),0)</f>
        <v>0</v>
      </c>
      <c r="BP39" s="549">
        <f ca="1">IFERROR(VLOOKUP(BP3+1,INDIRECT('Lookup Tables'!$K$4),6,FALSE),0)</f>
        <v>0</v>
      </c>
      <c r="BQ39" s="549">
        <f ca="1">IFERROR(VLOOKUP(BQ3+1,INDIRECT('Lookup Tables'!$K$4),6,FALSE),0)</f>
        <v>0</v>
      </c>
      <c r="BR39" s="549">
        <f ca="1">IFERROR(VLOOKUP(BR3+1,INDIRECT('Lookup Tables'!$K$4),6,FALSE),0)</f>
        <v>0</v>
      </c>
      <c r="BS39" s="549">
        <f ca="1">IFERROR(VLOOKUP(BS3+1,INDIRECT('Lookup Tables'!$K$4),6,FALSE),0)</f>
        <v>0</v>
      </c>
      <c r="BT39" s="549">
        <f ca="1">IFERROR(VLOOKUP(BT3+1,INDIRECT('Lookup Tables'!$K$4),6,FALSE),0)</f>
        <v>0</v>
      </c>
      <c r="BU39" s="549">
        <f ca="1">IFERROR(VLOOKUP(BU3+1,INDIRECT('Lookup Tables'!$K$4),6,FALSE),0)</f>
        <v>0</v>
      </c>
      <c r="BV39" s="549">
        <f ca="1">IFERROR(VLOOKUP(BV3+1,INDIRECT('Lookup Tables'!$K$4),6,FALSE),0)</f>
        <v>0</v>
      </c>
      <c r="BW39" s="549">
        <f ca="1">IFERROR(VLOOKUP(BW3+1,INDIRECT('Lookup Tables'!$K$4),6,FALSE),0)</f>
        <v>0</v>
      </c>
      <c r="BX39" s="549">
        <f ca="1">IFERROR(VLOOKUP(BX3+1,INDIRECT('Lookup Tables'!$K$4),6,FALSE),0)</f>
        <v>0</v>
      </c>
      <c r="BY39" s="549">
        <f ca="1">IFERROR(VLOOKUP(BY3+1,INDIRECT('Lookup Tables'!$K$4),6,FALSE),0)</f>
        <v>0</v>
      </c>
      <c r="BZ39" s="549">
        <f ca="1">IFERROR(VLOOKUP(BZ3+1,INDIRECT('Lookup Tables'!$K$4),6,FALSE),0)</f>
        <v>0</v>
      </c>
      <c r="CA39" s="553">
        <f ca="1">IFERROR(VLOOKUP(CA3+1,INDIRECT('Lookup Tables'!$K$4),6,FALSE),0)</f>
        <v>0</v>
      </c>
      <c r="CB39" s="549">
        <f ca="1">IFERROR(VLOOKUP(CB3+1,INDIRECT('Lookup Tables'!$K$4),6,FALSE),0)</f>
        <v>0</v>
      </c>
      <c r="CC39" s="549">
        <f ca="1">IFERROR(VLOOKUP(CC3+1,INDIRECT('Lookup Tables'!$K$4),6,FALSE),0)</f>
        <v>0</v>
      </c>
      <c r="CD39" s="549">
        <f ca="1">IFERROR(VLOOKUP(CD3+1,INDIRECT('Lookup Tables'!$K$4),6,FALSE),0)</f>
        <v>0</v>
      </c>
      <c r="CE39" s="549">
        <f ca="1">IFERROR(VLOOKUP(CE3+1,INDIRECT('Lookup Tables'!$K$4),6,FALSE),0)</f>
        <v>0</v>
      </c>
      <c r="CF39" s="549">
        <f ca="1">IFERROR(VLOOKUP(CF3+1,INDIRECT('Lookup Tables'!$K$4),6,FALSE),0)</f>
        <v>0</v>
      </c>
      <c r="CG39" s="549">
        <f ca="1">IFERROR(VLOOKUP(CG3+1,INDIRECT('Lookup Tables'!$K$4),6,FALSE),0)</f>
        <v>0</v>
      </c>
      <c r="CH39" s="549">
        <f ca="1">IFERROR(VLOOKUP(CH3+1,INDIRECT('Lookup Tables'!$K$4),6,FALSE),0)</f>
        <v>0</v>
      </c>
      <c r="CI39" s="549">
        <f ca="1">IFERROR(VLOOKUP(CI3+1,INDIRECT('Lookup Tables'!$K$4),6,FALSE),0)</f>
        <v>0</v>
      </c>
      <c r="CJ39" s="549">
        <f ca="1">IFERROR(VLOOKUP(CJ3+1,INDIRECT('Lookup Tables'!$K$4),6,FALSE),0)</f>
        <v>0</v>
      </c>
      <c r="CK39" s="549">
        <f ca="1">IFERROR(VLOOKUP(CK3+1,INDIRECT('Lookup Tables'!$K$4),6,FALSE),0)</f>
        <v>0</v>
      </c>
      <c r="CL39" s="549">
        <f ca="1">IFERROR(VLOOKUP(CL3+1,INDIRECT('Lookup Tables'!$K$4),6,FALSE),0)</f>
        <v>0</v>
      </c>
      <c r="CM39" s="549">
        <f ca="1">IFERROR(VLOOKUP(CM3+1,INDIRECT('Lookup Tables'!$K$4),6,FALSE),0)</f>
        <v>0</v>
      </c>
      <c r="CN39" s="549">
        <f ca="1">IFERROR(VLOOKUP(CN3+1,INDIRECT('Lookup Tables'!$K$4),6,FALSE),0)</f>
        <v>0</v>
      </c>
      <c r="CO39" s="549">
        <f ca="1">IFERROR(VLOOKUP(CO3+1,INDIRECT('Lookup Tables'!$K$4),6,FALSE),0)</f>
        <v>0</v>
      </c>
      <c r="CP39" s="549">
        <f ca="1">IFERROR(VLOOKUP(CP3+1,INDIRECT('Lookup Tables'!$K$4),6,FALSE),0)</f>
        <v>0</v>
      </c>
      <c r="CQ39" s="549">
        <f ca="1">IFERROR(VLOOKUP(CQ3+1,INDIRECT('Lookup Tables'!$K$4),6,FALSE),0)</f>
        <v>0</v>
      </c>
      <c r="CR39" s="549">
        <f ca="1">IFERROR(VLOOKUP(CR3+1,INDIRECT('Lookup Tables'!$K$4),6,FALSE),0)</f>
        <v>0</v>
      </c>
      <c r="CS39" s="549">
        <f ca="1">IFERROR(VLOOKUP(CS3+1,INDIRECT('Lookup Tables'!$K$4),6,FALSE),0)</f>
        <v>0</v>
      </c>
      <c r="CT39" s="549">
        <f ca="1">IFERROR(VLOOKUP(CT3+1,INDIRECT('Lookup Tables'!$K$4),6,FALSE),0)</f>
        <v>0</v>
      </c>
      <c r="CU39" s="549">
        <f ca="1">IFERROR(VLOOKUP(CU3+1,INDIRECT('Lookup Tables'!$K$4),6,FALSE),0)</f>
        <v>0</v>
      </c>
      <c r="CV39" s="549">
        <f ca="1">IFERROR(VLOOKUP(CV3+1,INDIRECT('Lookup Tables'!$K$4),6,FALSE),0)</f>
        <v>0</v>
      </c>
      <c r="CW39" s="549">
        <f ca="1">IFERROR(VLOOKUP(CW3+1,INDIRECT('Lookup Tables'!$K$4),6,FALSE),0)</f>
        <v>0</v>
      </c>
      <c r="CX39" s="549">
        <f ca="1">IFERROR(VLOOKUP(CX3+1,INDIRECT('Lookup Tables'!$K$4),6,FALSE),0)</f>
        <v>0</v>
      </c>
      <c r="CY39" s="562">
        <f ca="1">IFERROR(VLOOKUP(CY3+1,INDIRECT('Lookup Tables'!$K$4),6,FALSE),0)</f>
        <v>0</v>
      </c>
    </row>
    <row r="40" spans="1:103" ht="15" customHeight="1" x14ac:dyDescent="0.3">
      <c r="A40" s="879"/>
      <c r="B40" s="694" t="s">
        <v>545</v>
      </c>
      <c r="C40" s="685">
        <f ca="1">SUM(D40:CY40)</f>
        <v>2300</v>
      </c>
      <c r="D40" s="549">
        <f ca="1">VLOOKUP(D3,INDIRECT('Lookup Tables'!$K$4),4,FALSE)</f>
        <v>2300</v>
      </c>
      <c r="E40" s="549">
        <f ca="1">IFERROR(VLOOKUP(E3+1,INDIRECT('Lookup Tables'!$K$4),4,FALSE),0)</f>
        <v>0</v>
      </c>
      <c r="F40" s="549">
        <f ca="1">IFERROR(VLOOKUP(F3+1,INDIRECT('Lookup Tables'!$K$4),4,FALSE),0)</f>
        <v>0</v>
      </c>
      <c r="G40" s="549">
        <f ca="1">IFERROR(VLOOKUP(G3+1,INDIRECT('Lookup Tables'!$K$4),4,FALSE),0)</f>
        <v>0</v>
      </c>
      <c r="H40" s="549">
        <f ca="1">IFERROR(VLOOKUP(H3+1,INDIRECT('Lookup Tables'!$K$4),4,FALSE),0)</f>
        <v>0</v>
      </c>
      <c r="I40" s="549">
        <f ca="1">IFERROR(VLOOKUP(I3+1,INDIRECT('Lookup Tables'!$K$4),4,FALSE),0)</f>
        <v>0</v>
      </c>
      <c r="J40" s="549">
        <f ca="1">IFERROR(VLOOKUP(J3+1,INDIRECT('Lookup Tables'!$K$4),4,FALSE),0)</f>
        <v>0</v>
      </c>
      <c r="K40" s="549">
        <f ca="1">IFERROR(VLOOKUP(K3+1,INDIRECT('Lookup Tables'!$K$4),4,FALSE),0)</f>
        <v>0</v>
      </c>
      <c r="L40" s="549">
        <f ca="1">IFERROR(VLOOKUP(L3+1,INDIRECT('Lookup Tables'!$K$4),4,FALSE),0)</f>
        <v>0</v>
      </c>
      <c r="M40" s="549">
        <f ca="1">IFERROR(VLOOKUP(M3+1,INDIRECT('Lookup Tables'!$K$4),4,FALSE),0)</f>
        <v>0</v>
      </c>
      <c r="N40" s="549">
        <f ca="1">IFERROR(VLOOKUP(N3+1,INDIRECT('Lookup Tables'!$K$4),4,FALSE),0)</f>
        <v>0</v>
      </c>
      <c r="O40" s="549">
        <f ca="1">IFERROR(VLOOKUP(O3+1,INDIRECT('Lookup Tables'!$K$4),4,FALSE),0)</f>
        <v>0</v>
      </c>
      <c r="P40" s="549">
        <f ca="1">IFERROR(VLOOKUP(P3+1,INDIRECT('Lookup Tables'!$K$4),4,FALSE),0)</f>
        <v>0</v>
      </c>
      <c r="Q40" s="549">
        <f ca="1">IFERROR(VLOOKUP(Q3+1,INDIRECT('Lookup Tables'!$K$4),4,FALSE),0)</f>
        <v>0</v>
      </c>
      <c r="R40" s="549">
        <f ca="1">IFERROR(VLOOKUP(R3+1,INDIRECT('Lookup Tables'!$K$4),4,FALSE),0)</f>
        <v>0</v>
      </c>
      <c r="S40" s="549">
        <f ca="1">IFERROR(VLOOKUP(S3+1,INDIRECT('Lookup Tables'!$K$4),4,FALSE),0)</f>
        <v>0</v>
      </c>
      <c r="T40" s="549">
        <f ca="1">IFERROR(VLOOKUP(T3+1,INDIRECT('Lookup Tables'!$K$4),4,FALSE),0)</f>
        <v>0</v>
      </c>
      <c r="U40" s="549">
        <f ca="1">IFERROR(VLOOKUP(U3+1,INDIRECT('Lookup Tables'!$K$4),4,FALSE),0)</f>
        <v>0</v>
      </c>
      <c r="V40" s="549">
        <f ca="1">IFERROR(VLOOKUP(V3+1,INDIRECT('Lookup Tables'!$K$4),4,FALSE),0)</f>
        <v>0</v>
      </c>
      <c r="W40" s="549">
        <f ca="1">IFERROR(VLOOKUP(W3+1,INDIRECT('Lookup Tables'!$K$4),4,FALSE),0)</f>
        <v>0</v>
      </c>
      <c r="X40" s="549">
        <f ca="1">IFERROR(VLOOKUP(X3+1,INDIRECT('Lookup Tables'!$K$4),4,FALSE),0)</f>
        <v>0</v>
      </c>
      <c r="Y40" s="549">
        <f ca="1">IFERROR(VLOOKUP(Y3+1,INDIRECT('Lookup Tables'!$K$4),4,FALSE),0)</f>
        <v>0</v>
      </c>
      <c r="Z40" s="549">
        <f ca="1">IFERROR(VLOOKUP(Z3+1,INDIRECT('Lookup Tables'!$K$4),4,FALSE),0)</f>
        <v>0</v>
      </c>
      <c r="AA40" s="549">
        <f ca="1">IFERROR(VLOOKUP(AA3+1,INDIRECT('Lookup Tables'!$K$4),4,FALSE),0)</f>
        <v>0</v>
      </c>
      <c r="AB40" s="549">
        <f ca="1">IFERROR(VLOOKUP(AB3+1,INDIRECT('Lookup Tables'!$K$4),4,FALSE),0)</f>
        <v>0</v>
      </c>
      <c r="AC40" s="549">
        <f ca="1">IFERROR(VLOOKUP(AC3+1,INDIRECT('Lookup Tables'!$K$4),4,FALSE),0)</f>
        <v>0</v>
      </c>
      <c r="AD40" s="549">
        <f ca="1">IFERROR(VLOOKUP(AD3+1,INDIRECT('Lookup Tables'!$K$4),4,FALSE),0)</f>
        <v>0</v>
      </c>
      <c r="AE40" s="549">
        <f ca="1">IFERROR(VLOOKUP(AE3+1,INDIRECT('Lookup Tables'!$K$4),4,FALSE),0)</f>
        <v>0</v>
      </c>
      <c r="AF40" s="549">
        <f ca="1">IFERROR(VLOOKUP(AF3+1,INDIRECT('Lookup Tables'!$K$4),4,FALSE),0)</f>
        <v>0</v>
      </c>
      <c r="AG40" s="549">
        <f ca="1">IFERROR(VLOOKUP(AG3+1,INDIRECT('Lookup Tables'!$K$4),4,FALSE),0)</f>
        <v>0</v>
      </c>
      <c r="AH40" s="549">
        <f ca="1">IFERROR(VLOOKUP(AH3+1,INDIRECT('Lookup Tables'!$K$4),4,FALSE),0)</f>
        <v>0</v>
      </c>
      <c r="AI40" s="549">
        <f ca="1">IFERROR(VLOOKUP(AI3+1,INDIRECT('Lookup Tables'!$K$4),4,FALSE),0)</f>
        <v>0</v>
      </c>
      <c r="AJ40" s="549">
        <f ca="1">IFERROR(VLOOKUP(AJ3+1,INDIRECT('Lookup Tables'!$K$4),4,FALSE),0)</f>
        <v>0</v>
      </c>
      <c r="AK40" s="549">
        <f ca="1">IFERROR(VLOOKUP(AK3+1,INDIRECT('Lookup Tables'!$K$4),4,FALSE),0)</f>
        <v>0</v>
      </c>
      <c r="AL40" s="549">
        <f ca="1">IFERROR(VLOOKUP(AL3+1,INDIRECT('Lookup Tables'!$K$4),4,FALSE),0)</f>
        <v>0</v>
      </c>
      <c r="AM40" s="549">
        <f ca="1">IFERROR(VLOOKUP(AM3+1,INDIRECT('Lookup Tables'!$K$4),4,FALSE),0)</f>
        <v>0</v>
      </c>
      <c r="AN40" s="549">
        <f ca="1">IFERROR(VLOOKUP(AN3+1,INDIRECT('Lookup Tables'!$K$4),4,FALSE),0)</f>
        <v>0</v>
      </c>
      <c r="AO40" s="553">
        <f ca="1">IFERROR(VLOOKUP(AO3+1,INDIRECT('Lookup Tables'!$K$4),4,FALSE),0)</f>
        <v>0</v>
      </c>
      <c r="AP40" s="549">
        <f ca="1">IFERROR(VLOOKUP(AP3+1,INDIRECT('Lookup Tables'!$K$4),4,FALSE),0)</f>
        <v>0</v>
      </c>
      <c r="AQ40" s="549">
        <f ca="1">IFERROR(VLOOKUP(AQ3+1,INDIRECT('Lookup Tables'!$K$4),4,FALSE),0)</f>
        <v>0</v>
      </c>
      <c r="AR40" s="549">
        <f ca="1">IFERROR(VLOOKUP(AR3+1,INDIRECT('Lookup Tables'!$K$4),4,FALSE),0)</f>
        <v>0</v>
      </c>
      <c r="AS40" s="549">
        <f ca="1">IFERROR(VLOOKUP(AS3+1,INDIRECT('Lookup Tables'!$K$4),4,FALSE),0)</f>
        <v>0</v>
      </c>
      <c r="AT40" s="549">
        <f ca="1">IFERROR(VLOOKUP(AT3+1,INDIRECT('Lookup Tables'!$K$4),4,FALSE),0)</f>
        <v>0</v>
      </c>
      <c r="AU40" s="549">
        <f ca="1">IFERROR(VLOOKUP(AU3+1,INDIRECT('Lookup Tables'!$K$4),4,FALSE),0)</f>
        <v>0</v>
      </c>
      <c r="AV40" s="549">
        <f ca="1">IFERROR(VLOOKUP(AV3+1,INDIRECT('Lookup Tables'!$K$4),4,FALSE),0)</f>
        <v>0</v>
      </c>
      <c r="AW40" s="549">
        <f ca="1">IFERROR(VLOOKUP(AW3+1,INDIRECT('Lookup Tables'!$K$4),4,FALSE),0)</f>
        <v>0</v>
      </c>
      <c r="AX40" s="549">
        <f ca="1">IFERROR(VLOOKUP(AX3+1,INDIRECT('Lookup Tables'!$K$4),4,FALSE),0)</f>
        <v>0</v>
      </c>
      <c r="AY40" s="549">
        <f ca="1">IFERROR(VLOOKUP(AY3+1,INDIRECT('Lookup Tables'!$K$4),4,FALSE),0)</f>
        <v>0</v>
      </c>
      <c r="AZ40" s="549">
        <f ca="1">IFERROR(VLOOKUP(AZ3+1,INDIRECT('Lookup Tables'!$K$4),4,FALSE),0)</f>
        <v>0</v>
      </c>
      <c r="BA40" s="549">
        <f ca="1">IFERROR(VLOOKUP(BA3+1,INDIRECT('Lookup Tables'!$K$4),4,FALSE),0)</f>
        <v>0</v>
      </c>
      <c r="BB40" s="549">
        <f ca="1">IFERROR(VLOOKUP(BB3+1,INDIRECT('Lookup Tables'!$K$4),4,FALSE),0)</f>
        <v>0</v>
      </c>
      <c r="BC40" s="549">
        <f ca="1">IFERROR(VLOOKUP(BC3+1,INDIRECT('Lookup Tables'!$K$4),4,FALSE),0)</f>
        <v>0</v>
      </c>
      <c r="BD40" s="549">
        <f ca="1">IFERROR(VLOOKUP(BD3+1,INDIRECT('Lookup Tables'!$K$4),4,FALSE),0)</f>
        <v>0</v>
      </c>
      <c r="BE40" s="549">
        <f ca="1">IFERROR(VLOOKUP(BE3+1,INDIRECT('Lookup Tables'!$K$4),4,FALSE),0)</f>
        <v>0</v>
      </c>
      <c r="BF40" s="549">
        <f ca="1">IFERROR(VLOOKUP(BF3+1,INDIRECT('Lookup Tables'!$K$4),4,FALSE),0)</f>
        <v>0</v>
      </c>
      <c r="BG40" s="549">
        <f ca="1">IFERROR(VLOOKUP(BG3+1,INDIRECT('Lookup Tables'!$K$4),4,FALSE),0)</f>
        <v>0</v>
      </c>
      <c r="BH40" s="549">
        <f ca="1">IFERROR(VLOOKUP(BH3+1,INDIRECT('Lookup Tables'!$K$4),4,FALSE),0)</f>
        <v>0</v>
      </c>
      <c r="BI40" s="549">
        <f ca="1">IFERROR(VLOOKUP(BI3+1,INDIRECT('Lookup Tables'!$K$4),4,FALSE),0)</f>
        <v>0</v>
      </c>
      <c r="BJ40" s="549">
        <f ca="1">IFERROR(VLOOKUP(BJ3+1,INDIRECT('Lookup Tables'!$K$4),4,FALSE),0)</f>
        <v>0</v>
      </c>
      <c r="BK40" s="553">
        <f ca="1">IFERROR(VLOOKUP(BK3+1,INDIRECT('Lookup Tables'!$K$4),4,FALSE),0)</f>
        <v>0</v>
      </c>
      <c r="BL40" s="549">
        <f ca="1">IFERROR(VLOOKUP(BL3+1,INDIRECT('Lookup Tables'!$K$4),4,FALSE),0)</f>
        <v>0</v>
      </c>
      <c r="BM40" s="549">
        <f ca="1">IFERROR(VLOOKUP(BM3+1,INDIRECT('Lookup Tables'!$K$4),4,FALSE),0)</f>
        <v>0</v>
      </c>
      <c r="BN40" s="549">
        <f ca="1">IFERROR(VLOOKUP(BN3+1,INDIRECT('Lookup Tables'!$K$4),4,FALSE),0)</f>
        <v>0</v>
      </c>
      <c r="BO40" s="549">
        <f ca="1">IFERROR(VLOOKUP(BO3+1,INDIRECT('Lookup Tables'!$K$4),4,FALSE),0)</f>
        <v>0</v>
      </c>
      <c r="BP40" s="549">
        <f ca="1">IFERROR(VLOOKUP(BP3+1,INDIRECT('Lookup Tables'!$K$4),4,FALSE),0)</f>
        <v>0</v>
      </c>
      <c r="BQ40" s="549">
        <f ca="1">IFERROR(VLOOKUP(BQ3+1,INDIRECT('Lookup Tables'!$K$4),4,FALSE),0)</f>
        <v>0</v>
      </c>
      <c r="BR40" s="549">
        <f ca="1">IFERROR(VLOOKUP(BR3+1,INDIRECT('Lookup Tables'!$K$4),4,FALSE),0)</f>
        <v>0</v>
      </c>
      <c r="BS40" s="549">
        <f ca="1">IFERROR(VLOOKUP(BS3+1,INDIRECT('Lookup Tables'!$K$4),4,FALSE),0)</f>
        <v>0</v>
      </c>
      <c r="BT40" s="549">
        <f ca="1">IFERROR(VLOOKUP(BT3+1,INDIRECT('Lookup Tables'!$K$4),4,FALSE),0)</f>
        <v>0</v>
      </c>
      <c r="BU40" s="549">
        <f ca="1">IFERROR(VLOOKUP(BU3+1,INDIRECT('Lookup Tables'!$K$4),4,FALSE),0)</f>
        <v>0</v>
      </c>
      <c r="BV40" s="549">
        <f ca="1">IFERROR(VLOOKUP(BV3+1,INDIRECT('Lookup Tables'!$K$4),4,FALSE),0)</f>
        <v>0</v>
      </c>
      <c r="BW40" s="549">
        <f ca="1">IFERROR(VLOOKUP(BW3+1,INDIRECT('Lookup Tables'!$K$4),4,FALSE),0)</f>
        <v>0</v>
      </c>
      <c r="BX40" s="549">
        <f ca="1">IFERROR(VLOOKUP(BX3+1,INDIRECT('Lookup Tables'!$K$4),4,FALSE),0)</f>
        <v>0</v>
      </c>
      <c r="BY40" s="549">
        <f ca="1">IFERROR(VLOOKUP(BY3+1,INDIRECT('Lookup Tables'!$K$4),4,FALSE),0)</f>
        <v>0</v>
      </c>
      <c r="BZ40" s="549">
        <f ca="1">IFERROR(VLOOKUP(BZ3+1,INDIRECT('Lookup Tables'!$K$4),4,FALSE),0)</f>
        <v>0</v>
      </c>
      <c r="CA40" s="553">
        <f ca="1">IFERROR(VLOOKUP(CA3+1,INDIRECT('Lookup Tables'!$K$4),4,FALSE),0)</f>
        <v>0</v>
      </c>
      <c r="CB40" s="549">
        <f ca="1">IFERROR(VLOOKUP(CB3+1,INDIRECT('Lookup Tables'!$K$4),4,FALSE),0)</f>
        <v>0</v>
      </c>
      <c r="CC40" s="549">
        <f ca="1">IFERROR(VLOOKUP(CC3+1,INDIRECT('Lookup Tables'!$K$4),4,FALSE),0)</f>
        <v>0</v>
      </c>
      <c r="CD40" s="549">
        <f ca="1">IFERROR(VLOOKUP(CD3+1,INDIRECT('Lookup Tables'!$K$4),4,FALSE),0)</f>
        <v>0</v>
      </c>
      <c r="CE40" s="549">
        <f ca="1">IFERROR(VLOOKUP(CE3+1,INDIRECT('Lookup Tables'!$K$4),4,FALSE),0)</f>
        <v>0</v>
      </c>
      <c r="CF40" s="549">
        <f ca="1">IFERROR(VLOOKUP(CF3+1,INDIRECT('Lookup Tables'!$K$4),4,FALSE),0)</f>
        <v>0</v>
      </c>
      <c r="CG40" s="549">
        <f ca="1">IFERROR(VLOOKUP(CG3+1,INDIRECT('Lookup Tables'!$K$4),4,FALSE),0)</f>
        <v>0</v>
      </c>
      <c r="CH40" s="549">
        <f ca="1">IFERROR(VLOOKUP(CH3+1,INDIRECT('Lookup Tables'!$K$4),4,FALSE),0)</f>
        <v>0</v>
      </c>
      <c r="CI40" s="549">
        <f ca="1">IFERROR(VLOOKUP(CI3+1,INDIRECT('Lookup Tables'!$K$4),4,FALSE),0)</f>
        <v>0</v>
      </c>
      <c r="CJ40" s="549">
        <f ca="1">IFERROR(VLOOKUP(CJ3+1,INDIRECT('Lookup Tables'!$K$4),4,FALSE),0)</f>
        <v>0</v>
      </c>
      <c r="CK40" s="549">
        <f ca="1">IFERROR(VLOOKUP(CK3+1,INDIRECT('Lookup Tables'!$K$4),4,FALSE),0)</f>
        <v>0</v>
      </c>
      <c r="CL40" s="549">
        <f ca="1">IFERROR(VLOOKUP(CL3+1,INDIRECT('Lookup Tables'!$K$4),4,FALSE),0)</f>
        <v>0</v>
      </c>
      <c r="CM40" s="549">
        <f ca="1">IFERROR(VLOOKUP(CM3+1,INDIRECT('Lookup Tables'!$K$4),4,FALSE),0)</f>
        <v>0</v>
      </c>
      <c r="CN40" s="549">
        <f ca="1">IFERROR(VLOOKUP(CN3+1,INDIRECT('Lookup Tables'!$K$4),4,FALSE),0)</f>
        <v>0</v>
      </c>
      <c r="CO40" s="549">
        <f ca="1">IFERROR(VLOOKUP(CO3+1,INDIRECT('Lookup Tables'!$K$4),4,FALSE),0)</f>
        <v>0</v>
      </c>
      <c r="CP40" s="549">
        <f ca="1">IFERROR(VLOOKUP(CP3+1,INDIRECT('Lookup Tables'!$K$4),4,FALSE),0)</f>
        <v>0</v>
      </c>
      <c r="CQ40" s="549">
        <f ca="1">IFERROR(VLOOKUP(CQ3+1,INDIRECT('Lookup Tables'!$K$4),4,FALSE),0)</f>
        <v>0</v>
      </c>
      <c r="CR40" s="549">
        <f ca="1">IFERROR(VLOOKUP(CR3+1,INDIRECT('Lookup Tables'!$K$4),4,FALSE),0)</f>
        <v>0</v>
      </c>
      <c r="CS40" s="549">
        <f ca="1">IFERROR(VLOOKUP(CS3+1,INDIRECT('Lookup Tables'!$K$4),4,FALSE),0)</f>
        <v>0</v>
      </c>
      <c r="CT40" s="549">
        <f ca="1">IFERROR(VLOOKUP(CT3+1,INDIRECT('Lookup Tables'!$K$4),4,FALSE),0)</f>
        <v>0</v>
      </c>
      <c r="CU40" s="549">
        <f ca="1">IFERROR(VLOOKUP(CU3+1,INDIRECT('Lookup Tables'!$K$4),4,FALSE),0)</f>
        <v>0</v>
      </c>
      <c r="CV40" s="549">
        <f ca="1">IFERROR(VLOOKUP(CV3+1,INDIRECT('Lookup Tables'!$K$4),4,FALSE),0)</f>
        <v>0</v>
      </c>
      <c r="CW40" s="549">
        <f ca="1">IFERROR(VLOOKUP(CW3+1,INDIRECT('Lookup Tables'!$K$4),4,FALSE),0)</f>
        <v>0</v>
      </c>
      <c r="CX40" s="549">
        <f ca="1">IFERROR(VLOOKUP(CX3+1,INDIRECT('Lookup Tables'!$K$4),4,FALSE),0)</f>
        <v>0</v>
      </c>
      <c r="CY40" s="562">
        <f ca="1">IFERROR(VLOOKUP(CY3+1,INDIRECT('Lookup Tables'!$K$4),4,FALSE),0)</f>
        <v>0</v>
      </c>
    </row>
    <row r="41" spans="1:103" ht="15" customHeight="1" thickBot="1" x14ac:dyDescent="0.35">
      <c r="A41" s="696" t="s">
        <v>2</v>
      </c>
      <c r="B41" s="697"/>
      <c r="C41" s="698">
        <f ca="1">SUM(C37:C40)</f>
        <v>4417</v>
      </c>
      <c r="D41" s="699">
        <f ca="1">SUM(D37:D40)</f>
        <v>4417</v>
      </c>
      <c r="E41" s="699">
        <f t="shared" ref="E41:AH41" ca="1" si="8">SUM(E37:E40)</f>
        <v>0</v>
      </c>
      <c r="F41" s="699">
        <f t="shared" ca="1" si="8"/>
        <v>0</v>
      </c>
      <c r="G41" s="699">
        <f t="shared" ca="1" si="8"/>
        <v>0</v>
      </c>
      <c r="H41" s="699">
        <f ca="1">SUM(H37:H40)</f>
        <v>0</v>
      </c>
      <c r="I41" s="699">
        <f t="shared" ca="1" si="8"/>
        <v>0</v>
      </c>
      <c r="J41" s="699">
        <f t="shared" ca="1" si="8"/>
        <v>0</v>
      </c>
      <c r="K41" s="699">
        <f t="shared" ca="1" si="8"/>
        <v>0</v>
      </c>
      <c r="L41" s="699">
        <f t="shared" ca="1" si="8"/>
        <v>0</v>
      </c>
      <c r="M41" s="699">
        <f t="shared" ca="1" si="8"/>
        <v>0</v>
      </c>
      <c r="N41" s="699">
        <f t="shared" ca="1" si="8"/>
        <v>0</v>
      </c>
      <c r="O41" s="699">
        <f t="shared" ca="1" si="8"/>
        <v>0</v>
      </c>
      <c r="P41" s="699">
        <f t="shared" ca="1" si="8"/>
        <v>0</v>
      </c>
      <c r="Q41" s="699">
        <f t="shared" ca="1" si="8"/>
        <v>0</v>
      </c>
      <c r="R41" s="699">
        <f ca="1">SUM(R37:R40)</f>
        <v>0</v>
      </c>
      <c r="S41" s="699">
        <f t="shared" ca="1" si="8"/>
        <v>0</v>
      </c>
      <c r="T41" s="699">
        <f t="shared" ca="1" si="8"/>
        <v>0</v>
      </c>
      <c r="U41" s="699">
        <f t="shared" ca="1" si="8"/>
        <v>0</v>
      </c>
      <c r="V41" s="699">
        <f t="shared" ca="1" si="8"/>
        <v>0</v>
      </c>
      <c r="W41" s="699">
        <f t="shared" ca="1" si="8"/>
        <v>0</v>
      </c>
      <c r="X41" s="699">
        <f t="shared" ca="1" si="8"/>
        <v>0</v>
      </c>
      <c r="Y41" s="699">
        <f t="shared" ca="1" si="8"/>
        <v>0</v>
      </c>
      <c r="Z41" s="699">
        <f t="shared" ca="1" si="8"/>
        <v>0</v>
      </c>
      <c r="AA41" s="699">
        <f t="shared" ca="1" si="8"/>
        <v>0</v>
      </c>
      <c r="AB41" s="699">
        <f ca="1">SUM(AB37:AB40)</f>
        <v>0</v>
      </c>
      <c r="AC41" s="699">
        <f t="shared" ca="1" si="8"/>
        <v>0</v>
      </c>
      <c r="AD41" s="699">
        <f t="shared" ca="1" si="8"/>
        <v>0</v>
      </c>
      <c r="AE41" s="699">
        <f t="shared" ca="1" si="8"/>
        <v>0</v>
      </c>
      <c r="AF41" s="699">
        <f t="shared" ca="1" si="8"/>
        <v>0</v>
      </c>
      <c r="AG41" s="699">
        <f t="shared" ca="1" si="8"/>
        <v>0</v>
      </c>
      <c r="AH41" s="699">
        <f t="shared" ca="1" si="8"/>
        <v>0</v>
      </c>
      <c r="AI41" s="699">
        <f t="shared" ref="AI41:BN41" ca="1" si="9">SUM(AI37:AI40)</f>
        <v>0</v>
      </c>
      <c r="AJ41" s="699">
        <f t="shared" ca="1" si="9"/>
        <v>0</v>
      </c>
      <c r="AK41" s="699">
        <f t="shared" ca="1" si="9"/>
        <v>0</v>
      </c>
      <c r="AL41" s="699">
        <f ca="1">SUM(AL37:AL40)</f>
        <v>0</v>
      </c>
      <c r="AM41" s="699">
        <f t="shared" ca="1" si="9"/>
        <v>0</v>
      </c>
      <c r="AN41" s="699">
        <f t="shared" ca="1" si="9"/>
        <v>0</v>
      </c>
      <c r="AO41" s="700">
        <f t="shared" ca="1" si="9"/>
        <v>0</v>
      </c>
      <c r="AP41" s="699">
        <f t="shared" ca="1" si="9"/>
        <v>0</v>
      </c>
      <c r="AQ41" s="699">
        <f ca="1">SUM(AQ37:AQ40)</f>
        <v>0</v>
      </c>
      <c r="AR41" s="699">
        <f t="shared" ca="1" si="9"/>
        <v>0</v>
      </c>
      <c r="AS41" s="699">
        <f t="shared" ca="1" si="9"/>
        <v>0</v>
      </c>
      <c r="AT41" s="699">
        <f t="shared" ca="1" si="9"/>
        <v>0</v>
      </c>
      <c r="AU41" s="699">
        <f t="shared" ca="1" si="9"/>
        <v>0</v>
      </c>
      <c r="AV41" s="699">
        <f ca="1">SUM(AV37:AV40)</f>
        <v>0</v>
      </c>
      <c r="AW41" s="699">
        <f t="shared" ca="1" si="9"/>
        <v>0</v>
      </c>
      <c r="AX41" s="699">
        <f t="shared" ca="1" si="9"/>
        <v>0</v>
      </c>
      <c r="AY41" s="699">
        <f t="shared" ca="1" si="9"/>
        <v>0</v>
      </c>
      <c r="AZ41" s="699">
        <f t="shared" ca="1" si="9"/>
        <v>0</v>
      </c>
      <c r="BA41" s="699">
        <f ca="1">SUM(BA37:BA40)</f>
        <v>0</v>
      </c>
      <c r="BB41" s="699">
        <f t="shared" ca="1" si="9"/>
        <v>0</v>
      </c>
      <c r="BC41" s="699">
        <f t="shared" ca="1" si="9"/>
        <v>0</v>
      </c>
      <c r="BD41" s="699">
        <f t="shared" ca="1" si="9"/>
        <v>0</v>
      </c>
      <c r="BE41" s="699">
        <f t="shared" ca="1" si="9"/>
        <v>0</v>
      </c>
      <c r="BF41" s="699">
        <f t="shared" ca="1" si="9"/>
        <v>0</v>
      </c>
      <c r="BG41" s="699">
        <f t="shared" ca="1" si="9"/>
        <v>0</v>
      </c>
      <c r="BH41" s="699">
        <f t="shared" ca="1" si="9"/>
        <v>0</v>
      </c>
      <c r="BI41" s="699">
        <f t="shared" ca="1" si="9"/>
        <v>0</v>
      </c>
      <c r="BJ41" s="699">
        <f t="shared" ca="1" si="9"/>
        <v>0</v>
      </c>
      <c r="BK41" s="700">
        <f t="shared" ca="1" si="9"/>
        <v>0</v>
      </c>
      <c r="BL41" s="699">
        <f t="shared" ca="1" si="9"/>
        <v>0</v>
      </c>
      <c r="BM41" s="699">
        <f t="shared" ca="1" si="9"/>
        <v>0</v>
      </c>
      <c r="BN41" s="699">
        <f t="shared" ca="1" si="9"/>
        <v>0</v>
      </c>
      <c r="BO41" s="699">
        <f t="shared" ref="BO41:CT41" ca="1" si="10">SUM(BO37:BO40)</f>
        <v>0</v>
      </c>
      <c r="BP41" s="699">
        <f t="shared" ca="1" si="10"/>
        <v>0</v>
      </c>
      <c r="BQ41" s="699">
        <f t="shared" ca="1" si="10"/>
        <v>0</v>
      </c>
      <c r="BR41" s="699">
        <f t="shared" ca="1" si="10"/>
        <v>0</v>
      </c>
      <c r="BS41" s="699">
        <f t="shared" ca="1" si="10"/>
        <v>0</v>
      </c>
      <c r="BT41" s="699">
        <f t="shared" ca="1" si="10"/>
        <v>0</v>
      </c>
      <c r="BU41" s="699">
        <f t="shared" ca="1" si="10"/>
        <v>0</v>
      </c>
      <c r="BV41" s="699">
        <f t="shared" ca="1" si="10"/>
        <v>0</v>
      </c>
      <c r="BW41" s="699">
        <f t="shared" ca="1" si="10"/>
        <v>0</v>
      </c>
      <c r="BX41" s="699">
        <f t="shared" ca="1" si="10"/>
        <v>0</v>
      </c>
      <c r="BY41" s="699">
        <f t="shared" ca="1" si="10"/>
        <v>0</v>
      </c>
      <c r="BZ41" s="699">
        <f t="shared" ca="1" si="10"/>
        <v>0</v>
      </c>
      <c r="CA41" s="700">
        <f t="shared" ca="1" si="10"/>
        <v>0</v>
      </c>
      <c r="CB41" s="699">
        <f t="shared" ca="1" si="10"/>
        <v>0</v>
      </c>
      <c r="CC41" s="699">
        <f t="shared" ca="1" si="10"/>
        <v>0</v>
      </c>
      <c r="CD41" s="699">
        <f t="shared" ca="1" si="10"/>
        <v>0</v>
      </c>
      <c r="CE41" s="699">
        <f t="shared" ca="1" si="10"/>
        <v>0</v>
      </c>
      <c r="CF41" s="699">
        <f t="shared" ca="1" si="10"/>
        <v>0</v>
      </c>
      <c r="CG41" s="699">
        <f t="shared" ca="1" si="10"/>
        <v>0</v>
      </c>
      <c r="CH41" s="699">
        <f t="shared" ca="1" si="10"/>
        <v>0</v>
      </c>
      <c r="CI41" s="699">
        <f t="shared" ca="1" si="10"/>
        <v>0</v>
      </c>
      <c r="CJ41" s="699">
        <f t="shared" ca="1" si="10"/>
        <v>0</v>
      </c>
      <c r="CK41" s="699">
        <f t="shared" ca="1" si="10"/>
        <v>0</v>
      </c>
      <c r="CL41" s="699">
        <f t="shared" ca="1" si="10"/>
        <v>0</v>
      </c>
      <c r="CM41" s="699">
        <f t="shared" ca="1" si="10"/>
        <v>0</v>
      </c>
      <c r="CN41" s="699">
        <f t="shared" ca="1" si="10"/>
        <v>0</v>
      </c>
      <c r="CO41" s="699">
        <f t="shared" ca="1" si="10"/>
        <v>0</v>
      </c>
      <c r="CP41" s="699">
        <f t="shared" ca="1" si="10"/>
        <v>0</v>
      </c>
      <c r="CQ41" s="699">
        <f t="shared" ca="1" si="10"/>
        <v>0</v>
      </c>
      <c r="CR41" s="699">
        <f t="shared" ca="1" si="10"/>
        <v>0</v>
      </c>
      <c r="CS41" s="699">
        <f t="shared" ca="1" si="10"/>
        <v>0</v>
      </c>
      <c r="CT41" s="699">
        <f t="shared" ca="1" si="10"/>
        <v>0</v>
      </c>
      <c r="CU41" s="699">
        <f ca="1">SUM(CU37:CU40)</f>
        <v>0</v>
      </c>
      <c r="CV41" s="699">
        <f ca="1">SUM(CV37:CV40)</f>
        <v>0</v>
      </c>
      <c r="CW41" s="699">
        <f ca="1">SUM(CW37:CW40)</f>
        <v>0</v>
      </c>
      <c r="CX41" s="699">
        <f ca="1">SUM(CX37:CX40)</f>
        <v>0</v>
      </c>
      <c r="CY41" s="701">
        <f ca="1">SUM(CY37:CY40)</f>
        <v>0</v>
      </c>
    </row>
    <row r="42" spans="1:103" s="19" customFormat="1" ht="15" customHeight="1" thickTop="1" x14ac:dyDescent="0.3">
      <c r="A42" s="702" t="s">
        <v>523</v>
      </c>
      <c r="B42" s="703"/>
      <c r="C42" s="704">
        <f t="shared" ref="C42:AH42" ca="1" si="11">C36+C41+C31</f>
        <v>6112</v>
      </c>
      <c r="D42" s="705">
        <f t="shared" ca="1" si="11"/>
        <v>6112</v>
      </c>
      <c r="E42" s="705">
        <f t="shared" ca="1" si="11"/>
        <v>0</v>
      </c>
      <c r="F42" s="705">
        <f t="shared" ca="1" si="11"/>
        <v>0</v>
      </c>
      <c r="G42" s="705">
        <f t="shared" ca="1" si="11"/>
        <v>0</v>
      </c>
      <c r="H42" s="705">
        <f t="shared" ca="1" si="11"/>
        <v>0</v>
      </c>
      <c r="I42" s="705">
        <f t="shared" ca="1" si="11"/>
        <v>0</v>
      </c>
      <c r="J42" s="705">
        <f t="shared" ca="1" si="11"/>
        <v>0</v>
      </c>
      <c r="K42" s="705">
        <f t="shared" ca="1" si="11"/>
        <v>0</v>
      </c>
      <c r="L42" s="705">
        <f t="shared" ca="1" si="11"/>
        <v>0</v>
      </c>
      <c r="M42" s="705">
        <f t="shared" ca="1" si="11"/>
        <v>0</v>
      </c>
      <c r="N42" s="705">
        <f t="shared" ca="1" si="11"/>
        <v>0</v>
      </c>
      <c r="O42" s="705">
        <f t="shared" ca="1" si="11"/>
        <v>0</v>
      </c>
      <c r="P42" s="705">
        <f t="shared" ca="1" si="11"/>
        <v>0</v>
      </c>
      <c r="Q42" s="705">
        <f t="shared" ca="1" si="11"/>
        <v>0</v>
      </c>
      <c r="R42" s="705">
        <f t="shared" ca="1" si="11"/>
        <v>0</v>
      </c>
      <c r="S42" s="705">
        <f t="shared" ca="1" si="11"/>
        <v>0</v>
      </c>
      <c r="T42" s="705">
        <f t="shared" ca="1" si="11"/>
        <v>0</v>
      </c>
      <c r="U42" s="705">
        <f t="shared" ca="1" si="11"/>
        <v>0</v>
      </c>
      <c r="V42" s="705">
        <f t="shared" ca="1" si="11"/>
        <v>0</v>
      </c>
      <c r="W42" s="705">
        <f t="shared" ca="1" si="11"/>
        <v>0</v>
      </c>
      <c r="X42" s="705">
        <f t="shared" ca="1" si="11"/>
        <v>0</v>
      </c>
      <c r="Y42" s="705">
        <f t="shared" ca="1" si="11"/>
        <v>0</v>
      </c>
      <c r="Z42" s="705">
        <f t="shared" ca="1" si="11"/>
        <v>0</v>
      </c>
      <c r="AA42" s="705">
        <f t="shared" ca="1" si="11"/>
        <v>0</v>
      </c>
      <c r="AB42" s="705">
        <f t="shared" ca="1" si="11"/>
        <v>0</v>
      </c>
      <c r="AC42" s="705">
        <f t="shared" ca="1" si="11"/>
        <v>0</v>
      </c>
      <c r="AD42" s="705">
        <f t="shared" ca="1" si="11"/>
        <v>0</v>
      </c>
      <c r="AE42" s="705">
        <f t="shared" ca="1" si="11"/>
        <v>0</v>
      </c>
      <c r="AF42" s="705">
        <f t="shared" ca="1" si="11"/>
        <v>0</v>
      </c>
      <c r="AG42" s="705">
        <f t="shared" ca="1" si="11"/>
        <v>0</v>
      </c>
      <c r="AH42" s="705">
        <f t="shared" ca="1" si="11"/>
        <v>0</v>
      </c>
      <c r="AI42" s="705">
        <f t="shared" ref="AI42:BN42" ca="1" si="12">AI36+AI41+AI31</f>
        <v>0</v>
      </c>
      <c r="AJ42" s="705">
        <f t="shared" ca="1" si="12"/>
        <v>0</v>
      </c>
      <c r="AK42" s="705">
        <f t="shared" ca="1" si="12"/>
        <v>0</v>
      </c>
      <c r="AL42" s="705">
        <f t="shared" ca="1" si="12"/>
        <v>0</v>
      </c>
      <c r="AM42" s="705">
        <f t="shared" ca="1" si="12"/>
        <v>0</v>
      </c>
      <c r="AN42" s="705">
        <f t="shared" ca="1" si="12"/>
        <v>0</v>
      </c>
      <c r="AO42" s="706">
        <f t="shared" ca="1" si="12"/>
        <v>0</v>
      </c>
      <c r="AP42" s="705">
        <f t="shared" ca="1" si="12"/>
        <v>0</v>
      </c>
      <c r="AQ42" s="705">
        <f t="shared" ca="1" si="12"/>
        <v>0</v>
      </c>
      <c r="AR42" s="705">
        <f t="shared" ca="1" si="12"/>
        <v>0</v>
      </c>
      <c r="AS42" s="705">
        <f t="shared" ca="1" si="12"/>
        <v>0</v>
      </c>
      <c r="AT42" s="705">
        <f t="shared" ca="1" si="12"/>
        <v>0</v>
      </c>
      <c r="AU42" s="705">
        <f t="shared" ca="1" si="12"/>
        <v>0</v>
      </c>
      <c r="AV42" s="705">
        <f t="shared" ca="1" si="12"/>
        <v>0</v>
      </c>
      <c r="AW42" s="705">
        <f t="shared" ca="1" si="12"/>
        <v>0</v>
      </c>
      <c r="AX42" s="705">
        <f t="shared" ca="1" si="12"/>
        <v>0</v>
      </c>
      <c r="AY42" s="705">
        <f t="shared" ca="1" si="12"/>
        <v>0</v>
      </c>
      <c r="AZ42" s="705">
        <f t="shared" ca="1" si="12"/>
        <v>0</v>
      </c>
      <c r="BA42" s="705">
        <f t="shared" ca="1" si="12"/>
        <v>0</v>
      </c>
      <c r="BB42" s="705">
        <f t="shared" ca="1" si="12"/>
        <v>0</v>
      </c>
      <c r="BC42" s="705">
        <f t="shared" ca="1" si="12"/>
        <v>0</v>
      </c>
      <c r="BD42" s="705">
        <f t="shared" ca="1" si="12"/>
        <v>0</v>
      </c>
      <c r="BE42" s="705">
        <f t="shared" ca="1" si="12"/>
        <v>0</v>
      </c>
      <c r="BF42" s="705">
        <f t="shared" ca="1" si="12"/>
        <v>0</v>
      </c>
      <c r="BG42" s="705">
        <f t="shared" ca="1" si="12"/>
        <v>0</v>
      </c>
      <c r="BH42" s="705">
        <f t="shared" ca="1" si="12"/>
        <v>0</v>
      </c>
      <c r="BI42" s="705">
        <f t="shared" ca="1" si="12"/>
        <v>0</v>
      </c>
      <c r="BJ42" s="705">
        <f t="shared" ca="1" si="12"/>
        <v>0</v>
      </c>
      <c r="BK42" s="706">
        <f t="shared" ca="1" si="12"/>
        <v>0</v>
      </c>
      <c r="BL42" s="705">
        <f t="shared" ca="1" si="12"/>
        <v>0</v>
      </c>
      <c r="BM42" s="705">
        <f t="shared" ca="1" si="12"/>
        <v>0</v>
      </c>
      <c r="BN42" s="705">
        <f t="shared" ca="1" si="12"/>
        <v>0</v>
      </c>
      <c r="BO42" s="705">
        <f t="shared" ref="BO42:CT42" ca="1" si="13">BO36+BO41+BO31</f>
        <v>0</v>
      </c>
      <c r="BP42" s="705">
        <f t="shared" ca="1" si="13"/>
        <v>0</v>
      </c>
      <c r="BQ42" s="705">
        <f t="shared" ca="1" si="13"/>
        <v>0</v>
      </c>
      <c r="BR42" s="705">
        <f t="shared" ca="1" si="13"/>
        <v>0</v>
      </c>
      <c r="BS42" s="705">
        <f t="shared" ca="1" si="13"/>
        <v>0</v>
      </c>
      <c r="BT42" s="705">
        <f t="shared" ca="1" si="13"/>
        <v>0</v>
      </c>
      <c r="BU42" s="705">
        <f t="shared" ca="1" si="13"/>
        <v>0</v>
      </c>
      <c r="BV42" s="705">
        <f t="shared" ca="1" si="13"/>
        <v>0</v>
      </c>
      <c r="BW42" s="705">
        <f t="shared" ca="1" si="13"/>
        <v>0</v>
      </c>
      <c r="BX42" s="705">
        <f t="shared" ca="1" si="13"/>
        <v>0</v>
      </c>
      <c r="BY42" s="705">
        <f t="shared" ca="1" si="13"/>
        <v>0</v>
      </c>
      <c r="BZ42" s="705">
        <f t="shared" ca="1" si="13"/>
        <v>0</v>
      </c>
      <c r="CA42" s="706">
        <f t="shared" ca="1" si="13"/>
        <v>0</v>
      </c>
      <c r="CB42" s="705">
        <f t="shared" ca="1" si="13"/>
        <v>0</v>
      </c>
      <c r="CC42" s="705">
        <f t="shared" ca="1" si="13"/>
        <v>0</v>
      </c>
      <c r="CD42" s="705">
        <f t="shared" ca="1" si="13"/>
        <v>0</v>
      </c>
      <c r="CE42" s="705">
        <f t="shared" ca="1" si="13"/>
        <v>0</v>
      </c>
      <c r="CF42" s="705">
        <f t="shared" ca="1" si="13"/>
        <v>0</v>
      </c>
      <c r="CG42" s="705">
        <f t="shared" ca="1" si="13"/>
        <v>0</v>
      </c>
      <c r="CH42" s="705">
        <f t="shared" ca="1" si="13"/>
        <v>0</v>
      </c>
      <c r="CI42" s="705">
        <f t="shared" ca="1" si="13"/>
        <v>0</v>
      </c>
      <c r="CJ42" s="705">
        <f t="shared" ca="1" si="13"/>
        <v>0</v>
      </c>
      <c r="CK42" s="705">
        <f t="shared" ca="1" si="13"/>
        <v>0</v>
      </c>
      <c r="CL42" s="705">
        <f t="shared" ca="1" si="13"/>
        <v>0</v>
      </c>
      <c r="CM42" s="705">
        <f t="shared" ca="1" si="13"/>
        <v>0</v>
      </c>
      <c r="CN42" s="705">
        <f t="shared" ca="1" si="13"/>
        <v>0</v>
      </c>
      <c r="CO42" s="705">
        <f t="shared" ca="1" si="13"/>
        <v>0</v>
      </c>
      <c r="CP42" s="705">
        <f t="shared" ca="1" si="13"/>
        <v>0</v>
      </c>
      <c r="CQ42" s="705">
        <f t="shared" ca="1" si="13"/>
        <v>0</v>
      </c>
      <c r="CR42" s="705">
        <f t="shared" ca="1" si="13"/>
        <v>0</v>
      </c>
      <c r="CS42" s="705">
        <f t="shared" ca="1" si="13"/>
        <v>0</v>
      </c>
      <c r="CT42" s="705">
        <f t="shared" ca="1" si="13"/>
        <v>0</v>
      </c>
      <c r="CU42" s="705">
        <f ca="1">CU36+CU41+CU31</f>
        <v>0</v>
      </c>
      <c r="CV42" s="705">
        <f ca="1">CV36+CV41+CV31</f>
        <v>0</v>
      </c>
      <c r="CW42" s="705">
        <f ca="1">CW36+CW41+CW31</f>
        <v>0</v>
      </c>
      <c r="CX42" s="705">
        <f ca="1">CX36+CX41+CX31</f>
        <v>0</v>
      </c>
      <c r="CY42" s="707">
        <f ca="1">CY36+CY41+CY31</f>
        <v>0</v>
      </c>
    </row>
    <row r="43" spans="1:103" ht="15" customHeight="1" x14ac:dyDescent="0.3">
      <c r="A43" s="708"/>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43"/>
      <c r="AP43" s="25"/>
      <c r="AQ43" s="25"/>
      <c r="AR43" s="25"/>
      <c r="AS43" s="25"/>
      <c r="AT43" s="25"/>
      <c r="AU43" s="25"/>
      <c r="AV43" s="25"/>
      <c r="AW43" s="25"/>
      <c r="AX43" s="25"/>
      <c r="AY43" s="25"/>
      <c r="AZ43" s="25"/>
      <c r="BA43" s="25"/>
      <c r="BB43" s="25"/>
      <c r="BC43" s="25"/>
      <c r="BD43" s="25"/>
      <c r="BE43" s="25"/>
      <c r="BF43" s="25"/>
      <c r="BG43" s="25"/>
      <c r="BH43" s="25"/>
      <c r="BI43" s="25"/>
      <c r="BJ43" s="25"/>
      <c r="BK43" s="43"/>
      <c r="BL43" s="25"/>
      <c r="BM43" s="25"/>
      <c r="BN43" s="25"/>
      <c r="BO43" s="25"/>
      <c r="BP43" s="25"/>
      <c r="BQ43" s="25"/>
      <c r="BR43" s="25"/>
      <c r="BS43" s="25"/>
      <c r="BT43" s="25"/>
      <c r="BU43" s="25"/>
      <c r="BV43" s="25"/>
      <c r="BW43" s="25"/>
      <c r="BX43" s="25"/>
      <c r="BY43" s="25"/>
      <c r="BZ43" s="25"/>
      <c r="CA43" s="43"/>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573"/>
    </row>
    <row r="44" spans="1:103" ht="15" customHeight="1" x14ac:dyDescent="0.3">
      <c r="A44" s="676" t="s">
        <v>3</v>
      </c>
      <c r="B44" s="22" t="s">
        <v>28</v>
      </c>
      <c r="C44" s="677"/>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44"/>
      <c r="AP44" s="24"/>
      <c r="AQ44" s="24"/>
      <c r="AR44" s="24"/>
      <c r="AS44" s="24"/>
      <c r="AT44" s="24"/>
      <c r="AU44" s="24"/>
      <c r="AV44" s="24"/>
      <c r="AW44" s="24"/>
      <c r="AX44" s="24"/>
      <c r="AY44" s="24"/>
      <c r="AZ44" s="24"/>
      <c r="BA44" s="24"/>
      <c r="BB44" s="24"/>
      <c r="BC44" s="24"/>
      <c r="BD44" s="24"/>
      <c r="BE44" s="24"/>
      <c r="BF44" s="24"/>
      <c r="BG44" s="24"/>
      <c r="BH44" s="24"/>
      <c r="BI44" s="24"/>
      <c r="BJ44" s="24"/>
      <c r="BK44" s="44"/>
      <c r="BL44" s="24"/>
      <c r="BM44" s="24"/>
      <c r="BN44" s="24"/>
      <c r="BO44" s="24"/>
      <c r="BP44" s="24"/>
      <c r="BQ44" s="24"/>
      <c r="BR44" s="24"/>
      <c r="BS44" s="24"/>
      <c r="BT44" s="24"/>
      <c r="BU44" s="24"/>
      <c r="BV44" s="24"/>
      <c r="BW44" s="24"/>
      <c r="BX44" s="24"/>
      <c r="BY44" s="24"/>
      <c r="BZ44" s="24"/>
      <c r="CA44" s="4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574"/>
    </row>
    <row r="45" spans="1:103" ht="15" customHeight="1" x14ac:dyDescent="0.3">
      <c r="A45" s="873" t="s">
        <v>285</v>
      </c>
      <c r="B45" s="346" t="s">
        <v>317</v>
      </c>
      <c r="C45" s="685">
        <f>SUM(D45:CY45)</f>
        <v>0</v>
      </c>
      <c r="D45" s="551">
        <f>'Data Entry'!B82</f>
        <v>0</v>
      </c>
      <c r="E45" s="176"/>
      <c r="F45" s="176"/>
      <c r="G45" s="176"/>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7"/>
      <c r="AP45" s="176"/>
      <c r="AQ45" s="176"/>
      <c r="AR45" s="176"/>
      <c r="AS45" s="176"/>
      <c r="AT45" s="176"/>
      <c r="AU45" s="176"/>
      <c r="AV45" s="176"/>
      <c r="AW45" s="176"/>
      <c r="AX45" s="176"/>
      <c r="AY45" s="176"/>
      <c r="AZ45" s="176"/>
      <c r="BA45" s="176"/>
      <c r="BB45" s="176"/>
      <c r="BC45" s="176"/>
      <c r="BD45" s="176"/>
      <c r="BE45" s="176"/>
      <c r="BF45" s="176"/>
      <c r="BG45" s="176"/>
      <c r="BH45" s="176"/>
      <c r="BI45" s="176"/>
      <c r="BJ45" s="176"/>
      <c r="BK45" s="177"/>
      <c r="BL45" s="176"/>
      <c r="BM45" s="176"/>
      <c r="BN45" s="176"/>
      <c r="BO45" s="176"/>
      <c r="BP45" s="176"/>
      <c r="BQ45" s="176"/>
      <c r="BR45" s="176"/>
      <c r="BS45" s="176"/>
      <c r="BT45" s="176"/>
      <c r="BU45" s="176"/>
      <c r="BV45" s="176"/>
      <c r="BW45" s="176"/>
      <c r="BX45" s="176"/>
      <c r="BY45" s="176"/>
      <c r="BZ45" s="176"/>
      <c r="CA45" s="177"/>
      <c r="CB45" s="176"/>
      <c r="CC45" s="176"/>
      <c r="CD45" s="176"/>
      <c r="CE45" s="176"/>
      <c r="CF45" s="176"/>
      <c r="CG45" s="176"/>
      <c r="CH45" s="176"/>
      <c r="CI45" s="176"/>
      <c r="CJ45" s="176"/>
      <c r="CK45" s="176"/>
      <c r="CL45" s="176"/>
      <c r="CM45" s="176"/>
      <c r="CN45" s="176"/>
      <c r="CO45" s="176"/>
      <c r="CP45" s="176"/>
      <c r="CQ45" s="176"/>
      <c r="CR45" s="176"/>
      <c r="CS45" s="176"/>
      <c r="CT45" s="176"/>
      <c r="CU45" s="176"/>
      <c r="CV45" s="176"/>
      <c r="CW45" s="176"/>
      <c r="CX45" s="176"/>
      <c r="CY45" s="570"/>
    </row>
    <row r="46" spans="1:103" ht="15" customHeight="1" x14ac:dyDescent="0.3">
      <c r="A46" s="873"/>
      <c r="B46" s="346" t="s">
        <v>318</v>
      </c>
      <c r="C46" s="685">
        <f>SUM(D46:CY46)</f>
        <v>0</v>
      </c>
      <c r="D46" s="551">
        <f>'Data Entry'!B83</f>
        <v>0</v>
      </c>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7"/>
      <c r="AP46" s="176"/>
      <c r="AQ46" s="176"/>
      <c r="AR46" s="176"/>
      <c r="AS46" s="176"/>
      <c r="AT46" s="176"/>
      <c r="AU46" s="176"/>
      <c r="AV46" s="176"/>
      <c r="AW46" s="176"/>
      <c r="AX46" s="176"/>
      <c r="AY46" s="176"/>
      <c r="AZ46" s="176"/>
      <c r="BA46" s="176"/>
      <c r="BB46" s="176"/>
      <c r="BC46" s="176"/>
      <c r="BD46" s="176"/>
      <c r="BE46" s="176"/>
      <c r="BF46" s="176"/>
      <c r="BG46" s="176"/>
      <c r="BH46" s="176"/>
      <c r="BI46" s="176"/>
      <c r="BJ46" s="176"/>
      <c r="BK46" s="177"/>
      <c r="BL46" s="176"/>
      <c r="BM46" s="176"/>
      <c r="BN46" s="176"/>
      <c r="BO46" s="176"/>
      <c r="BP46" s="176"/>
      <c r="BQ46" s="176"/>
      <c r="BR46" s="176"/>
      <c r="BS46" s="176"/>
      <c r="BT46" s="176"/>
      <c r="BU46" s="176"/>
      <c r="BV46" s="176"/>
      <c r="BW46" s="176"/>
      <c r="BX46" s="176"/>
      <c r="BY46" s="176"/>
      <c r="BZ46" s="176"/>
      <c r="CA46" s="177"/>
      <c r="CB46" s="176"/>
      <c r="CC46" s="176"/>
      <c r="CD46" s="176"/>
      <c r="CE46" s="176"/>
      <c r="CF46" s="176"/>
      <c r="CG46" s="176"/>
      <c r="CH46" s="176"/>
      <c r="CI46" s="176"/>
      <c r="CJ46" s="176"/>
      <c r="CK46" s="176"/>
      <c r="CL46" s="176"/>
      <c r="CM46" s="176"/>
      <c r="CN46" s="176"/>
      <c r="CO46" s="176"/>
      <c r="CP46" s="176"/>
      <c r="CQ46" s="176"/>
      <c r="CR46" s="176"/>
      <c r="CS46" s="176"/>
      <c r="CT46" s="176"/>
      <c r="CU46" s="176"/>
      <c r="CV46" s="176"/>
      <c r="CW46" s="176"/>
      <c r="CX46" s="176"/>
      <c r="CY46" s="570"/>
    </row>
    <row r="47" spans="1:103" ht="15" customHeight="1" x14ac:dyDescent="0.3">
      <c r="A47" s="873"/>
      <c r="B47" s="346" t="s">
        <v>546</v>
      </c>
      <c r="C47" s="685">
        <f>SUM(D47:CY47)</f>
        <v>0</v>
      </c>
      <c r="D47" s="176"/>
      <c r="E47" s="549">
        <f>IF(E3&lt;='Data Entry'!$C$84,'Data Entry'!$B84,0)</f>
        <v>0</v>
      </c>
      <c r="F47" s="549">
        <f>IF(F3&lt;='Data Entry'!$C$84,'Data Entry'!$B84,0)</f>
        <v>0</v>
      </c>
      <c r="G47" s="549">
        <f>IF(G3&lt;='Data Entry'!$C$84,'Data Entry'!$B84,0)</f>
        <v>0</v>
      </c>
      <c r="H47" s="549">
        <f>IF(H3&lt;='Data Entry'!$C$84,'Data Entry'!$B84,0)</f>
        <v>0</v>
      </c>
      <c r="I47" s="549">
        <f>IF(I3&lt;='Data Entry'!$C$84,'Data Entry'!$B84,0)</f>
        <v>0</v>
      </c>
      <c r="J47" s="549">
        <f>IF(J3&lt;='Data Entry'!$C$84,'Data Entry'!$B84,0)</f>
        <v>0</v>
      </c>
      <c r="K47" s="549">
        <f>IF(K3&lt;='Data Entry'!$C$84,'Data Entry'!$B84,0)</f>
        <v>0</v>
      </c>
      <c r="L47" s="549">
        <f>IF(L3&lt;='Data Entry'!$C$84,'Data Entry'!$B84,0)</f>
        <v>0</v>
      </c>
      <c r="M47" s="549">
        <f>IF(M3&lt;='Data Entry'!$C$84,'Data Entry'!$B84,0)</f>
        <v>0</v>
      </c>
      <c r="N47" s="549">
        <f>IF(N3&lt;='Data Entry'!$C$84,'Data Entry'!$B84,0)</f>
        <v>0</v>
      </c>
      <c r="O47" s="549">
        <f>IF(O3&lt;='Data Entry'!$C$84,'Data Entry'!$B84,0)</f>
        <v>0</v>
      </c>
      <c r="P47" s="549">
        <f>IF(P3&lt;='Data Entry'!$C$84,'Data Entry'!$B84,0)</f>
        <v>0</v>
      </c>
      <c r="Q47" s="549">
        <f>IF(Q3&lt;='Data Entry'!$C$84,'Data Entry'!$B84,0)</f>
        <v>0</v>
      </c>
      <c r="R47" s="549">
        <f>IF(R3&lt;='Data Entry'!$C$84,'Data Entry'!$B84,0)</f>
        <v>0</v>
      </c>
      <c r="S47" s="549">
        <f>IF(S3&lt;='Data Entry'!$C$84,'Data Entry'!$B84,0)</f>
        <v>0</v>
      </c>
      <c r="T47" s="176"/>
      <c r="U47" s="176"/>
      <c r="V47" s="176"/>
      <c r="W47" s="176"/>
      <c r="X47" s="176"/>
      <c r="Y47" s="176"/>
      <c r="Z47" s="176"/>
      <c r="AA47" s="176"/>
      <c r="AB47" s="176"/>
      <c r="AC47" s="176"/>
      <c r="AD47" s="176"/>
      <c r="AE47" s="176"/>
      <c r="AF47" s="176"/>
      <c r="AG47" s="176"/>
      <c r="AH47" s="176"/>
      <c r="AI47" s="176"/>
      <c r="AJ47" s="176"/>
      <c r="AK47" s="176"/>
      <c r="AL47" s="176"/>
      <c r="AM47" s="176"/>
      <c r="AN47" s="176"/>
      <c r="AO47" s="177"/>
      <c r="AP47" s="176"/>
      <c r="AQ47" s="176"/>
      <c r="AR47" s="176"/>
      <c r="AS47" s="176"/>
      <c r="AT47" s="176"/>
      <c r="AU47" s="176"/>
      <c r="AV47" s="176"/>
      <c r="AW47" s="176"/>
      <c r="AX47" s="176"/>
      <c r="AY47" s="176"/>
      <c r="AZ47" s="176"/>
      <c r="BA47" s="176"/>
      <c r="BB47" s="176"/>
      <c r="BC47" s="176"/>
      <c r="BD47" s="176"/>
      <c r="BE47" s="176"/>
      <c r="BF47" s="176"/>
      <c r="BG47" s="176"/>
      <c r="BH47" s="176"/>
      <c r="BI47" s="176"/>
      <c r="BJ47" s="176"/>
      <c r="BK47" s="177"/>
      <c r="BL47" s="176"/>
      <c r="BM47" s="176"/>
      <c r="BN47" s="176"/>
      <c r="BO47" s="176"/>
      <c r="BP47" s="176"/>
      <c r="BQ47" s="176"/>
      <c r="BR47" s="176"/>
      <c r="BS47" s="176"/>
      <c r="BT47" s="176"/>
      <c r="BU47" s="176"/>
      <c r="BV47" s="176"/>
      <c r="BW47" s="176"/>
      <c r="BX47" s="176"/>
      <c r="BY47" s="176"/>
      <c r="BZ47" s="176"/>
      <c r="CA47" s="177"/>
      <c r="CB47" s="176"/>
      <c r="CC47" s="176"/>
      <c r="CD47" s="176"/>
      <c r="CE47" s="176"/>
      <c r="CF47" s="176"/>
      <c r="CG47" s="176"/>
      <c r="CH47" s="176"/>
      <c r="CI47" s="176"/>
      <c r="CJ47" s="176"/>
      <c r="CK47" s="176"/>
      <c r="CL47" s="176"/>
      <c r="CM47" s="176"/>
      <c r="CN47" s="176"/>
      <c r="CO47" s="176"/>
      <c r="CP47" s="176"/>
      <c r="CQ47" s="176"/>
      <c r="CR47" s="176"/>
      <c r="CS47" s="176"/>
      <c r="CT47" s="176"/>
      <c r="CU47" s="176"/>
      <c r="CV47" s="176"/>
      <c r="CW47" s="176"/>
      <c r="CX47" s="176"/>
      <c r="CY47" s="570"/>
    </row>
    <row r="48" spans="1:103" ht="15" customHeight="1" x14ac:dyDescent="0.3">
      <c r="A48" s="873"/>
      <c r="B48" s="346" t="s">
        <v>547</v>
      </c>
      <c r="C48" s="685">
        <f>SUM(D48:CY48)</f>
        <v>0</v>
      </c>
      <c r="D48" s="551">
        <f>IF('Data Entry'!$B$86="Yes",IF(D3&lt;'Data Entry'!$I$103,'Data Entry'!$J$106,0),0)</f>
        <v>0</v>
      </c>
      <c r="E48" s="551">
        <f>IF('Data Entry'!$B$86="Yes",IF(E3&lt;'Data Entry'!$I$103,'Data Entry'!$J$106,0),0)</f>
        <v>0</v>
      </c>
      <c r="F48" s="551">
        <f>IF('Data Entry'!$B$86="Yes",IF(F3&lt;'Data Entry'!$I$103,'Data Entry'!$J$106,0),0)</f>
        <v>0</v>
      </c>
      <c r="G48" s="551">
        <f>IF('Data Entry'!$B$86="Yes",IF(G3&lt;'Data Entry'!$I$103,'Data Entry'!$J$106,0),0)</f>
        <v>0</v>
      </c>
      <c r="H48" s="551">
        <f>IF('Data Entry'!$B$86="Yes",IF(H3&lt;'Data Entry'!$I$103,'Data Entry'!$J$106,0),0)</f>
        <v>0</v>
      </c>
      <c r="I48" s="551">
        <f>IF('Data Entry'!$B$86="Yes",IF(I3&lt;'Data Entry'!$I$103,'Data Entry'!$J$106,0),0)</f>
        <v>0</v>
      </c>
      <c r="J48" s="551">
        <f>IF('Data Entry'!$B$86="Yes",IF(J3&lt;'Data Entry'!$I$103,'Data Entry'!$J$106,0),0)</f>
        <v>0</v>
      </c>
      <c r="K48" s="551">
        <f>IF('Data Entry'!$B$86="Yes",IF(K3&lt;'Data Entry'!$I$103,'Data Entry'!$J$106,0),0)</f>
        <v>0</v>
      </c>
      <c r="L48" s="551">
        <f>IF('Data Entry'!$B$86="Yes",IF(L3&lt;'Data Entry'!$I$103,'Data Entry'!$J$106,0),0)</f>
        <v>0</v>
      </c>
      <c r="M48" s="551">
        <f>IF('Data Entry'!$B$86="Yes",IF(M3&lt;'Data Entry'!$I$103,'Data Entry'!$J$106,0),0)</f>
        <v>0</v>
      </c>
      <c r="N48" s="551">
        <f>IF('Data Entry'!$B$86="Yes",IF(N3&lt;'Data Entry'!$I$103,'Data Entry'!$J$106,0),0)</f>
        <v>0</v>
      </c>
      <c r="O48" s="551">
        <f>IF('Data Entry'!$B$86="Yes",IF(O3&lt;'Data Entry'!$I$103,'Data Entry'!$J$106,0),0)</f>
        <v>0</v>
      </c>
      <c r="P48" s="551">
        <f>IF('Data Entry'!$B$86="Yes",IF(P3&lt;'Data Entry'!$I$103,'Data Entry'!$J$106,0),0)</f>
        <v>0</v>
      </c>
      <c r="Q48" s="551">
        <f>IF('Data Entry'!$B$86="Yes",IF(Q3&lt;'Data Entry'!$I$103,'Data Entry'!$J$106,0),0)</f>
        <v>0</v>
      </c>
      <c r="R48" s="551">
        <f>IF('Data Entry'!$B$86="Yes",IF(R3&lt;'Data Entry'!$I$103,'Data Entry'!$J$106,0),0)</f>
        <v>0</v>
      </c>
      <c r="S48" s="551">
        <f>IF('Data Entry'!$B$86="Yes",IF(S3&lt;'Data Entry'!$I$103,'Data Entry'!$J$106,0),0)</f>
        <v>0</v>
      </c>
      <c r="T48" s="551">
        <f>IF('Data Entry'!$B$86="Yes",IF(T3&lt;'Data Entry'!$I$103,'Data Entry'!$J$106,0),0)</f>
        <v>0</v>
      </c>
      <c r="U48" s="551">
        <f>IF('Data Entry'!$B$86="Yes",IF(U3&lt;'Data Entry'!$I$103,'Data Entry'!$J$106,0),0)</f>
        <v>0</v>
      </c>
      <c r="V48" s="551">
        <f>IF('Data Entry'!$B$86="Yes",IF(V3&lt;'Data Entry'!$I$103,'Data Entry'!$J$106,0),0)</f>
        <v>0</v>
      </c>
      <c r="W48" s="551">
        <f>IF('Data Entry'!$B$86="Yes",IF(W3&lt;'Data Entry'!$I$103,'Data Entry'!$J$106,0),0)</f>
        <v>0</v>
      </c>
      <c r="X48" s="176"/>
      <c r="Y48" s="176"/>
      <c r="Z48" s="176"/>
      <c r="AA48" s="176"/>
      <c r="AB48" s="176"/>
      <c r="AC48" s="176"/>
      <c r="AD48" s="176"/>
      <c r="AE48" s="176"/>
      <c r="AF48" s="176"/>
      <c r="AG48" s="176"/>
      <c r="AH48" s="176"/>
      <c r="AI48" s="176"/>
      <c r="AJ48" s="176"/>
      <c r="AK48" s="176"/>
      <c r="AL48" s="176"/>
      <c r="AM48" s="176"/>
      <c r="AN48" s="176"/>
      <c r="AO48" s="177"/>
      <c r="AP48" s="176"/>
      <c r="AQ48" s="176"/>
      <c r="AR48" s="176"/>
      <c r="AS48" s="176"/>
      <c r="AT48" s="176"/>
      <c r="AU48" s="176"/>
      <c r="AV48" s="176"/>
      <c r="AW48" s="176"/>
      <c r="AX48" s="176"/>
      <c r="AY48" s="176"/>
      <c r="AZ48" s="176"/>
      <c r="BA48" s="176"/>
      <c r="BB48" s="176"/>
      <c r="BC48" s="176"/>
      <c r="BD48" s="176"/>
      <c r="BE48" s="176"/>
      <c r="BF48" s="176"/>
      <c r="BG48" s="176"/>
      <c r="BH48" s="176"/>
      <c r="BI48" s="176"/>
      <c r="BJ48" s="176"/>
      <c r="BK48" s="177"/>
      <c r="BL48" s="176"/>
      <c r="BM48" s="176"/>
      <c r="BN48" s="176"/>
      <c r="BO48" s="176"/>
      <c r="BP48" s="176"/>
      <c r="BQ48" s="176"/>
      <c r="BR48" s="176"/>
      <c r="BS48" s="176"/>
      <c r="BT48" s="176"/>
      <c r="BU48" s="176"/>
      <c r="BV48" s="176"/>
      <c r="BW48" s="176"/>
      <c r="BX48" s="176"/>
      <c r="BY48" s="176"/>
      <c r="BZ48" s="176"/>
      <c r="CA48" s="177"/>
      <c r="CB48" s="176"/>
      <c r="CC48" s="176"/>
      <c r="CD48" s="176"/>
      <c r="CE48" s="176"/>
      <c r="CF48" s="176"/>
      <c r="CG48" s="176"/>
      <c r="CH48" s="176"/>
      <c r="CI48" s="176"/>
      <c r="CJ48" s="176"/>
      <c r="CK48" s="176"/>
      <c r="CL48" s="176"/>
      <c r="CM48" s="176"/>
      <c r="CN48" s="176"/>
      <c r="CO48" s="176"/>
      <c r="CP48" s="176"/>
      <c r="CQ48" s="176"/>
      <c r="CR48" s="176"/>
      <c r="CS48" s="176"/>
      <c r="CT48" s="176"/>
      <c r="CU48" s="176"/>
      <c r="CV48" s="176"/>
      <c r="CW48" s="176"/>
      <c r="CX48" s="176"/>
      <c r="CY48" s="570"/>
    </row>
    <row r="49" spans="1:103" ht="15" customHeight="1" x14ac:dyDescent="0.3">
      <c r="A49" s="873"/>
      <c r="B49" s="178" t="str">
        <f>'Data Entry'!A85</f>
        <v>Other grant (specify)</v>
      </c>
      <c r="C49" s="685">
        <f>SUM(D49:CY49)</f>
        <v>0</v>
      </c>
      <c r="D49" s="549">
        <f>IF(AND(D$3&lt;'Data Entry'!$B$13,D$3&lt;'Data Entry'!$C$85),'Data Entry'!$B$85,0)</f>
        <v>0</v>
      </c>
      <c r="E49" s="549">
        <f>IF(AND(E$3&lt;'Data Entry'!$B$13,E$3&lt;'Data Entry'!$C$85),'Data Entry'!$B$85,0)</f>
        <v>0</v>
      </c>
      <c r="F49" s="549">
        <f>IF(AND(F$3&lt;'Data Entry'!$B$13,F$3&lt;'Data Entry'!$C$85),'Data Entry'!$B$85,0)</f>
        <v>0</v>
      </c>
      <c r="G49" s="549">
        <f>IF(AND(G$3&lt;'Data Entry'!$B$13,G$3&lt;'Data Entry'!$C$85),'Data Entry'!$B$85,0)</f>
        <v>0</v>
      </c>
      <c r="H49" s="549">
        <f>IF(AND(H$3&lt;'Data Entry'!$B$13,H$3&lt;'Data Entry'!$C$85),'Data Entry'!$B$85,0)</f>
        <v>0</v>
      </c>
      <c r="I49" s="549">
        <f>IF(AND(I$3&lt;'Data Entry'!$B$13,I$3&lt;'Data Entry'!$C$85),'Data Entry'!$B$85,0)</f>
        <v>0</v>
      </c>
      <c r="J49" s="549">
        <f>IF(AND(J$3&lt;'Data Entry'!$B$13,J$3&lt;'Data Entry'!$C$85),'Data Entry'!$B$85,0)</f>
        <v>0</v>
      </c>
      <c r="K49" s="549">
        <f>IF(AND(K$3&lt;'Data Entry'!$B$13,K$3&lt;'Data Entry'!$C$85),'Data Entry'!$B$85,0)</f>
        <v>0</v>
      </c>
      <c r="L49" s="549">
        <f>IF(AND(L$3&lt;'Data Entry'!$B$13,L$3&lt;'Data Entry'!$C$85),'Data Entry'!$B$85,0)</f>
        <v>0</v>
      </c>
      <c r="M49" s="549">
        <f>IF(AND(M$3&lt;'Data Entry'!$B$13,M$3&lt;'Data Entry'!$C$85),'Data Entry'!$B$85,0)</f>
        <v>0</v>
      </c>
      <c r="N49" s="549">
        <f>IF(AND(N$3&lt;'Data Entry'!$B$13,N$3&lt;'Data Entry'!$C$85),'Data Entry'!$B$85,0)</f>
        <v>0</v>
      </c>
      <c r="O49" s="549">
        <f>IF(AND(O$3&lt;'Data Entry'!$B$13,O$3&lt;'Data Entry'!$C$85),'Data Entry'!$B$85,0)</f>
        <v>0</v>
      </c>
      <c r="P49" s="549">
        <f>IF(AND(P$3&lt;'Data Entry'!$B$13,P$3&lt;'Data Entry'!$C$85),'Data Entry'!$B$85,0)</f>
        <v>0</v>
      </c>
      <c r="Q49" s="549">
        <f>IF(AND(Q$3&lt;'Data Entry'!$B$13,Q$3&lt;'Data Entry'!$C$85),'Data Entry'!$B$85,0)</f>
        <v>0</v>
      </c>
      <c r="R49" s="549">
        <f>IF(AND(R$3&lt;'Data Entry'!$B$13,R$3&lt;'Data Entry'!$C$85),'Data Entry'!$B$85,0)</f>
        <v>0</v>
      </c>
      <c r="S49" s="549">
        <f>IF(AND(S$3&lt;'Data Entry'!$B$13,S$3&lt;'Data Entry'!$C$85),'Data Entry'!$B$85,0)</f>
        <v>0</v>
      </c>
      <c r="T49" s="549">
        <f>IF(AND(T$3&lt;'Data Entry'!$B$13,T$3&lt;'Data Entry'!$C$85),'Data Entry'!$B$85,0)</f>
        <v>0</v>
      </c>
      <c r="U49" s="549">
        <f>IF(AND(U$3&lt;'Data Entry'!$B$13,U$3&lt;'Data Entry'!$C$85),'Data Entry'!$B$85,0)</f>
        <v>0</v>
      </c>
      <c r="V49" s="549">
        <f>IF(AND(V$3&lt;'Data Entry'!$B$13,V$3&lt;'Data Entry'!$C$85),'Data Entry'!$B$85,0)</f>
        <v>0</v>
      </c>
      <c r="W49" s="549">
        <f>IF(AND(W$3&lt;'Data Entry'!$B$13,W$3&lt;'Data Entry'!$C$85),'Data Entry'!$B$85,0)</f>
        <v>0</v>
      </c>
      <c r="X49" s="549">
        <f>IF(AND(X$3&lt;'Data Entry'!$B$13,X$3&lt;'Data Entry'!$C$85),'Data Entry'!$B$85,0)</f>
        <v>0</v>
      </c>
      <c r="Y49" s="549">
        <f>IF(AND(Y$3&lt;'Data Entry'!$B$13,Y$3&lt;'Data Entry'!$C$85),'Data Entry'!$B$85,0)</f>
        <v>0</v>
      </c>
      <c r="Z49" s="549">
        <f>IF(AND(Z$3&lt;'Data Entry'!$B$13,Z$3&lt;'Data Entry'!$C$85),'Data Entry'!$B$85,0)</f>
        <v>0</v>
      </c>
      <c r="AA49" s="549">
        <f>IF(AND(AA$3&lt;'Data Entry'!$B$13,AA$3&lt;'Data Entry'!$C$85),'Data Entry'!$B$85,0)</f>
        <v>0</v>
      </c>
      <c r="AB49" s="549">
        <f>IF(AND(AB$3&lt;'Data Entry'!$B$13,AB$3&lt;'Data Entry'!$C$85),'Data Entry'!$B$85,0)</f>
        <v>0</v>
      </c>
      <c r="AC49" s="549">
        <f>IF(AND(AC$3&lt;'Data Entry'!$B$13,AC$3&lt;'Data Entry'!$C$85),'Data Entry'!$B$85,0)</f>
        <v>0</v>
      </c>
      <c r="AD49" s="549">
        <f>IF(AND(AD$3&lt;'Data Entry'!$B$13,AD$3&lt;'Data Entry'!$C$85),'Data Entry'!$B$85,0)</f>
        <v>0</v>
      </c>
      <c r="AE49" s="549">
        <f>IF(AND(AE$3&lt;'Data Entry'!$B$13,AE$3&lt;'Data Entry'!$C$85),'Data Entry'!$B$85,0)</f>
        <v>0</v>
      </c>
      <c r="AF49" s="549">
        <f>IF(AND(AF$3&lt;'Data Entry'!$B$13,AF$3&lt;'Data Entry'!$C$85),'Data Entry'!$B$85,0)</f>
        <v>0</v>
      </c>
      <c r="AG49" s="549">
        <f>IF(AND(AG$3&lt;'Data Entry'!$B$13,AG$3&lt;'Data Entry'!$C$85),'Data Entry'!$B$85,0)</f>
        <v>0</v>
      </c>
      <c r="AH49" s="549">
        <f>IF(AND(AH$3&lt;'Data Entry'!$B$13,AH$3&lt;'Data Entry'!$C$85),'Data Entry'!$B$85,0)</f>
        <v>0</v>
      </c>
      <c r="AI49" s="549">
        <f>IF(AND(AI$3&lt;'Data Entry'!$B$13,AI$3&lt;'Data Entry'!$C$85),'Data Entry'!$B$85,0)</f>
        <v>0</v>
      </c>
      <c r="AJ49" s="549">
        <f>IF(AND(AJ$3&lt;'Data Entry'!$B$13,AJ$3&lt;'Data Entry'!$C$85),'Data Entry'!$B$85,0)</f>
        <v>0</v>
      </c>
      <c r="AK49" s="549">
        <f>IF(AND(AK$3&lt;'Data Entry'!$B$13,AK$3&lt;'Data Entry'!$C$85),'Data Entry'!$B$85,0)</f>
        <v>0</v>
      </c>
      <c r="AL49" s="549">
        <f>IF(AND(AL$3&lt;'Data Entry'!$B$13,AL$3&lt;'Data Entry'!$C$85),'Data Entry'!$B$85,0)</f>
        <v>0</v>
      </c>
      <c r="AM49" s="549">
        <f>IF(AND(AM$3&lt;'Data Entry'!$B$13,AM$3&lt;'Data Entry'!$C$85),'Data Entry'!$B$85,0)</f>
        <v>0</v>
      </c>
      <c r="AN49" s="549">
        <f>IF(AND(AN$3&lt;'Data Entry'!$B$13,AN$3&lt;'Data Entry'!$C$85),'Data Entry'!$B$85,0)</f>
        <v>0</v>
      </c>
      <c r="AO49" s="553">
        <f>IF(AND(AO$3&lt;'Data Entry'!$B$13,AO$3&lt;'Data Entry'!$C$85),'Data Entry'!$B$85,0)</f>
        <v>0</v>
      </c>
      <c r="AP49" s="549">
        <f>IF(AND(AP$3&lt;'Data Entry'!$B$13,AP$3&lt;'Data Entry'!$C$85),'Data Entry'!$B$85,0)</f>
        <v>0</v>
      </c>
      <c r="AQ49" s="549">
        <f>IF(AND(AQ$3&lt;'Data Entry'!$B$13,AQ$3&lt;'Data Entry'!$C$85),'Data Entry'!$B$85,0)</f>
        <v>0</v>
      </c>
      <c r="AR49" s="549">
        <f>IF(AND(AR$3&lt;'Data Entry'!$B$13,AR$3&lt;'Data Entry'!$C$85),'Data Entry'!$B$85,0)</f>
        <v>0</v>
      </c>
      <c r="AS49" s="549">
        <f>IF(AND(AS$3&lt;'Data Entry'!$B$13,AS$3&lt;'Data Entry'!$C$85),'Data Entry'!$B$85,0)</f>
        <v>0</v>
      </c>
      <c r="AT49" s="549">
        <f>IF(AND(AT$3&lt;'Data Entry'!$B$13,AT$3&lt;'Data Entry'!$C$85),'Data Entry'!$B$85,0)</f>
        <v>0</v>
      </c>
      <c r="AU49" s="549">
        <f>IF(AND(AU$3&lt;'Data Entry'!$B$13,AU$3&lt;'Data Entry'!$C$85),'Data Entry'!$B$85,0)</f>
        <v>0</v>
      </c>
      <c r="AV49" s="549">
        <f>IF(AND(AV$3&lt;'Data Entry'!$B$13,AV$3&lt;'Data Entry'!$C$85),'Data Entry'!$B$85,0)</f>
        <v>0</v>
      </c>
      <c r="AW49" s="549">
        <f>IF(AND(AW$3&lt;'Data Entry'!$B$13,AW$3&lt;'Data Entry'!$C$85),'Data Entry'!$B$85,0)</f>
        <v>0</v>
      </c>
      <c r="AX49" s="549">
        <f>IF(AND(AX$3&lt;'Data Entry'!$B$13,AX$3&lt;'Data Entry'!$C$85),'Data Entry'!$B$85,0)</f>
        <v>0</v>
      </c>
      <c r="AY49" s="549">
        <f>IF(AND(AY$3&lt;'Data Entry'!$B$13,AY$3&lt;'Data Entry'!$C$85),'Data Entry'!$B$85,0)</f>
        <v>0</v>
      </c>
      <c r="AZ49" s="549">
        <f>IF(AND(AZ$3&lt;'Data Entry'!$B$13,AZ$3&lt;'Data Entry'!$C$85),'Data Entry'!$B$85,0)</f>
        <v>0</v>
      </c>
      <c r="BA49" s="549">
        <f>IF(AND(BA$3&lt;'Data Entry'!$B$13,BA$3&lt;'Data Entry'!$C$85),'Data Entry'!$B$85,0)</f>
        <v>0</v>
      </c>
      <c r="BB49" s="549">
        <f>IF(AND(BB$3&lt;'Data Entry'!$B$13,BB$3&lt;'Data Entry'!$C$85),'Data Entry'!$B$85,0)</f>
        <v>0</v>
      </c>
      <c r="BC49" s="549">
        <f>IF(AND(BC$3&lt;'Data Entry'!$B$13,BC$3&lt;'Data Entry'!$C$85),'Data Entry'!$B$85,0)</f>
        <v>0</v>
      </c>
      <c r="BD49" s="549">
        <f>IF(AND(BD$3&lt;'Data Entry'!$B$13,BD$3&lt;'Data Entry'!$C$85),'Data Entry'!$B$85,0)</f>
        <v>0</v>
      </c>
      <c r="BE49" s="549">
        <f>IF(AND(BE$3&lt;'Data Entry'!$B$13,BE$3&lt;'Data Entry'!$C$85),'Data Entry'!$B$85,0)</f>
        <v>0</v>
      </c>
      <c r="BF49" s="549">
        <f>IF(AND(BF$3&lt;'Data Entry'!$B$13,BF$3&lt;'Data Entry'!$C$85),'Data Entry'!$B$85,0)</f>
        <v>0</v>
      </c>
      <c r="BG49" s="549">
        <f>IF(AND(BG$3&lt;'Data Entry'!$B$13,BG$3&lt;'Data Entry'!$C$85),'Data Entry'!$B$85,0)</f>
        <v>0</v>
      </c>
      <c r="BH49" s="549">
        <f>IF(AND(BH$3&lt;'Data Entry'!$B$13,BH$3&lt;'Data Entry'!$C$85),'Data Entry'!$B$85,0)</f>
        <v>0</v>
      </c>
      <c r="BI49" s="549">
        <f>IF(AND(BI$3&lt;'Data Entry'!$B$13,BI$3&lt;'Data Entry'!$C$85),'Data Entry'!$B$85,0)</f>
        <v>0</v>
      </c>
      <c r="BJ49" s="549">
        <f>IF(AND(BJ$3&lt;'Data Entry'!$B$13,BJ$3&lt;'Data Entry'!$C$85),'Data Entry'!$B$85,0)</f>
        <v>0</v>
      </c>
      <c r="BK49" s="553">
        <f>IF(AND(BK$3&lt;'Data Entry'!$B$13,BK$3&lt;'Data Entry'!$C$85),'Data Entry'!$B$85,0)</f>
        <v>0</v>
      </c>
      <c r="BL49" s="549">
        <f>IF(AND(BL$3&lt;'Data Entry'!$B$13,BL$3&lt;'Data Entry'!$C$85),'Data Entry'!$B$85,0)</f>
        <v>0</v>
      </c>
      <c r="BM49" s="549">
        <f>IF(AND(BM$3&lt;'Data Entry'!$B$13,BM$3&lt;'Data Entry'!$C$85),'Data Entry'!$B$85,0)</f>
        <v>0</v>
      </c>
      <c r="BN49" s="549">
        <f>IF(AND(BN$3&lt;'Data Entry'!$B$13,BN$3&lt;'Data Entry'!$C$85),'Data Entry'!$B$85,0)</f>
        <v>0</v>
      </c>
      <c r="BO49" s="549">
        <f>IF(AND(BO$3&lt;'Data Entry'!$B$13,BO$3&lt;'Data Entry'!$C$85),'Data Entry'!$B$85,0)</f>
        <v>0</v>
      </c>
      <c r="BP49" s="549">
        <f>IF(AND(BP$3&lt;'Data Entry'!$B$13,BP$3&lt;'Data Entry'!$C$85),'Data Entry'!$B$85,0)</f>
        <v>0</v>
      </c>
      <c r="BQ49" s="549">
        <f>IF(AND(BQ$3&lt;'Data Entry'!$B$13,BQ$3&lt;'Data Entry'!$C$85),'Data Entry'!$B$85,0)</f>
        <v>0</v>
      </c>
      <c r="BR49" s="549">
        <f>IF(AND(BR$3&lt;'Data Entry'!$B$13,BR$3&lt;'Data Entry'!$C$85),'Data Entry'!$B$85,0)</f>
        <v>0</v>
      </c>
      <c r="BS49" s="549">
        <f>IF(AND(BS$3&lt;'Data Entry'!$B$13,BS$3&lt;'Data Entry'!$C$85),'Data Entry'!$B$85,0)</f>
        <v>0</v>
      </c>
      <c r="BT49" s="549">
        <f>IF(AND(BT$3&lt;'Data Entry'!$B$13,BT$3&lt;'Data Entry'!$C$85),'Data Entry'!$B$85,0)</f>
        <v>0</v>
      </c>
      <c r="BU49" s="549">
        <f>IF(AND(BU$3&lt;'Data Entry'!$B$13,BU$3&lt;'Data Entry'!$C$85),'Data Entry'!$B$85,0)</f>
        <v>0</v>
      </c>
      <c r="BV49" s="549">
        <f>IF(AND(BV$3&lt;'Data Entry'!$B$13,BV$3&lt;'Data Entry'!$C$85),'Data Entry'!$B$85,0)</f>
        <v>0</v>
      </c>
      <c r="BW49" s="549">
        <f>IF(AND(BW$3&lt;'Data Entry'!$B$13,BW$3&lt;'Data Entry'!$C$85),'Data Entry'!$B$85,0)</f>
        <v>0</v>
      </c>
      <c r="BX49" s="549">
        <f>IF(AND(BX$3&lt;'Data Entry'!$B$13,BX$3&lt;'Data Entry'!$C$85),'Data Entry'!$B$85,0)</f>
        <v>0</v>
      </c>
      <c r="BY49" s="549">
        <f>IF(AND(BY$3&lt;'Data Entry'!$B$13,BY$3&lt;'Data Entry'!$C$85),'Data Entry'!$B$85,0)</f>
        <v>0</v>
      </c>
      <c r="BZ49" s="549">
        <f>IF(AND(BZ$3&lt;'Data Entry'!$B$13,BZ$3&lt;'Data Entry'!$C$85),'Data Entry'!$B$85,0)</f>
        <v>0</v>
      </c>
      <c r="CA49" s="553">
        <f>IF(AND(CA$3&lt;'Data Entry'!$B$13,CA$3&lt;'Data Entry'!$C$85),'Data Entry'!$B$85,0)</f>
        <v>0</v>
      </c>
      <c r="CB49" s="549">
        <f>IF(AND(CB$3&lt;'Data Entry'!$B$13,CB$3&lt;'Data Entry'!$C$85),'Data Entry'!$B$85,0)</f>
        <v>0</v>
      </c>
      <c r="CC49" s="549">
        <f>IF(AND(CC$3&lt;'Data Entry'!$B$13,CC$3&lt;'Data Entry'!$C$85),'Data Entry'!$B$85,0)</f>
        <v>0</v>
      </c>
      <c r="CD49" s="549">
        <f>IF(AND(CD$3&lt;'Data Entry'!$B$13,CD$3&lt;'Data Entry'!$C$85),'Data Entry'!$B$85,0)</f>
        <v>0</v>
      </c>
      <c r="CE49" s="549">
        <f>IF(AND(CE$3&lt;'Data Entry'!$B$13,CE$3&lt;'Data Entry'!$C$85),'Data Entry'!$B$85,0)</f>
        <v>0</v>
      </c>
      <c r="CF49" s="549">
        <f>IF(AND(CF$3&lt;'Data Entry'!$B$13,CF$3&lt;'Data Entry'!$C$85),'Data Entry'!$B$85,0)</f>
        <v>0</v>
      </c>
      <c r="CG49" s="549">
        <f>IF(AND(CG$3&lt;'Data Entry'!$B$13,CG$3&lt;'Data Entry'!$C$85),'Data Entry'!$B$85,0)</f>
        <v>0</v>
      </c>
      <c r="CH49" s="549">
        <f>IF(AND(CH$3&lt;'Data Entry'!$B$13,CH$3&lt;'Data Entry'!$C$85),'Data Entry'!$B$85,0)</f>
        <v>0</v>
      </c>
      <c r="CI49" s="549">
        <f>IF(AND(CI$3&lt;'Data Entry'!$B$13,CI$3&lt;'Data Entry'!$C$85),'Data Entry'!$B$85,0)</f>
        <v>0</v>
      </c>
      <c r="CJ49" s="549">
        <f>IF(AND(CJ$3&lt;'Data Entry'!$B$13,CJ$3&lt;'Data Entry'!$C$85),'Data Entry'!$B$85,0)</f>
        <v>0</v>
      </c>
      <c r="CK49" s="549">
        <f>IF(AND(CK$3&lt;'Data Entry'!$B$13,CK$3&lt;'Data Entry'!$C$85),'Data Entry'!$B$85,0)</f>
        <v>0</v>
      </c>
      <c r="CL49" s="549">
        <f>IF(AND(CL$3&lt;'Data Entry'!$B$13,CL$3&lt;'Data Entry'!$C$85),'Data Entry'!$B$85,0)</f>
        <v>0</v>
      </c>
      <c r="CM49" s="549">
        <f>IF(AND(CM$3&lt;'Data Entry'!$B$13,CM$3&lt;'Data Entry'!$C$85),'Data Entry'!$B$85,0)</f>
        <v>0</v>
      </c>
      <c r="CN49" s="549">
        <f>IF(AND(CN$3&lt;'Data Entry'!$B$13,CN$3&lt;'Data Entry'!$C$85),'Data Entry'!$B$85,0)</f>
        <v>0</v>
      </c>
      <c r="CO49" s="549">
        <f>IF(AND(CO$3&lt;'Data Entry'!$B$13,CO$3&lt;'Data Entry'!$C$85),'Data Entry'!$B$85,0)</f>
        <v>0</v>
      </c>
      <c r="CP49" s="549">
        <f>IF(AND(CP$3&lt;'Data Entry'!$B$13,CP$3&lt;'Data Entry'!$C$85),'Data Entry'!$B$85,0)</f>
        <v>0</v>
      </c>
      <c r="CQ49" s="549">
        <f>IF(AND(CQ$3&lt;'Data Entry'!$B$13,CQ$3&lt;'Data Entry'!$C$85),'Data Entry'!$B$85,0)</f>
        <v>0</v>
      </c>
      <c r="CR49" s="549">
        <f>IF(AND(CR$3&lt;'Data Entry'!$B$13,CR$3&lt;'Data Entry'!$C$85),'Data Entry'!$B$85,0)</f>
        <v>0</v>
      </c>
      <c r="CS49" s="549">
        <f>IF(AND(CS$3&lt;'Data Entry'!$B$13,CS$3&lt;'Data Entry'!$C$85),'Data Entry'!$B$85,0)</f>
        <v>0</v>
      </c>
      <c r="CT49" s="549">
        <f>IF(AND(CT$3&lt;'Data Entry'!$B$13,CT$3&lt;'Data Entry'!$C$85),'Data Entry'!$B$85,0)</f>
        <v>0</v>
      </c>
      <c r="CU49" s="549">
        <f>IF(AND(CU$3&lt;'Data Entry'!$B$13,CU$3&lt;'Data Entry'!$C$85),'Data Entry'!$B$85,0)</f>
        <v>0</v>
      </c>
      <c r="CV49" s="549">
        <f>IF(AND(CV$3&lt;'Data Entry'!$B$13,CV$3&lt;'Data Entry'!$C$85),'Data Entry'!$B$85,0)</f>
        <v>0</v>
      </c>
      <c r="CW49" s="549">
        <f>IF(AND(CW$3&lt;'Data Entry'!$B$13,CW$3&lt;'Data Entry'!$C$85),'Data Entry'!$B$85,0)</f>
        <v>0</v>
      </c>
      <c r="CX49" s="549">
        <f>IF(AND(CX$3&lt;'Data Entry'!$B$13,CX$3&lt;'Data Entry'!$C$85),'Data Entry'!$B$85,0)</f>
        <v>0</v>
      </c>
      <c r="CY49" s="562">
        <f>IF(AND(CY$3&lt;'Data Entry'!$B$13,CY$3&lt;'Data Entry'!$C$85),'Data Entry'!$B$85,0)</f>
        <v>0</v>
      </c>
    </row>
    <row r="50" spans="1:103" ht="15" customHeight="1" x14ac:dyDescent="0.3">
      <c r="A50" s="695" t="s">
        <v>2</v>
      </c>
      <c r="B50" s="689"/>
      <c r="C50" s="691">
        <f>SUM(C45:C49)</f>
        <v>0</v>
      </c>
      <c r="D50" s="690">
        <f>SUM(D45:D49)</f>
        <v>0</v>
      </c>
      <c r="E50" s="690">
        <f t="shared" ref="E50:BO50" si="14">SUM(E45:E49)</f>
        <v>0</v>
      </c>
      <c r="F50" s="690">
        <f t="shared" si="14"/>
        <v>0</v>
      </c>
      <c r="G50" s="690">
        <f t="shared" si="14"/>
        <v>0</v>
      </c>
      <c r="H50" s="690">
        <f t="shared" si="14"/>
        <v>0</v>
      </c>
      <c r="I50" s="690">
        <f t="shared" si="14"/>
        <v>0</v>
      </c>
      <c r="J50" s="690">
        <f t="shared" si="14"/>
        <v>0</v>
      </c>
      <c r="K50" s="690">
        <f t="shared" si="14"/>
        <v>0</v>
      </c>
      <c r="L50" s="690">
        <f t="shared" si="14"/>
        <v>0</v>
      </c>
      <c r="M50" s="690">
        <f t="shared" si="14"/>
        <v>0</v>
      </c>
      <c r="N50" s="690">
        <f t="shared" si="14"/>
        <v>0</v>
      </c>
      <c r="O50" s="690">
        <f t="shared" si="14"/>
        <v>0</v>
      </c>
      <c r="P50" s="690">
        <f t="shared" si="14"/>
        <v>0</v>
      </c>
      <c r="Q50" s="690">
        <f t="shared" si="14"/>
        <v>0</v>
      </c>
      <c r="R50" s="690">
        <f t="shared" si="14"/>
        <v>0</v>
      </c>
      <c r="S50" s="690">
        <f t="shared" si="14"/>
        <v>0</v>
      </c>
      <c r="T50" s="690">
        <f t="shared" si="14"/>
        <v>0</v>
      </c>
      <c r="U50" s="690">
        <f t="shared" si="14"/>
        <v>0</v>
      </c>
      <c r="V50" s="690">
        <f t="shared" si="14"/>
        <v>0</v>
      </c>
      <c r="W50" s="690">
        <f t="shared" si="14"/>
        <v>0</v>
      </c>
      <c r="X50" s="690">
        <f t="shared" si="14"/>
        <v>0</v>
      </c>
      <c r="Y50" s="690">
        <f t="shared" si="14"/>
        <v>0</v>
      </c>
      <c r="Z50" s="690">
        <f t="shared" si="14"/>
        <v>0</v>
      </c>
      <c r="AA50" s="690">
        <f t="shared" si="14"/>
        <v>0</v>
      </c>
      <c r="AB50" s="690">
        <f t="shared" si="14"/>
        <v>0</v>
      </c>
      <c r="AC50" s="690">
        <f t="shared" si="14"/>
        <v>0</v>
      </c>
      <c r="AD50" s="690">
        <f t="shared" si="14"/>
        <v>0</v>
      </c>
      <c r="AE50" s="690">
        <f t="shared" si="14"/>
        <v>0</v>
      </c>
      <c r="AF50" s="690">
        <f t="shared" si="14"/>
        <v>0</v>
      </c>
      <c r="AG50" s="690">
        <f t="shared" si="14"/>
        <v>0</v>
      </c>
      <c r="AH50" s="690">
        <f t="shared" si="14"/>
        <v>0</v>
      </c>
      <c r="AI50" s="690">
        <f t="shared" si="14"/>
        <v>0</v>
      </c>
      <c r="AJ50" s="690">
        <f t="shared" si="14"/>
        <v>0</v>
      </c>
      <c r="AK50" s="690">
        <f t="shared" si="14"/>
        <v>0</v>
      </c>
      <c r="AL50" s="690">
        <f t="shared" si="14"/>
        <v>0</v>
      </c>
      <c r="AM50" s="690">
        <f t="shared" si="14"/>
        <v>0</v>
      </c>
      <c r="AN50" s="690">
        <f t="shared" si="14"/>
        <v>0</v>
      </c>
      <c r="AO50" s="692">
        <f t="shared" si="14"/>
        <v>0</v>
      </c>
      <c r="AP50" s="690">
        <f t="shared" si="14"/>
        <v>0</v>
      </c>
      <c r="AQ50" s="690">
        <f t="shared" si="14"/>
        <v>0</v>
      </c>
      <c r="AR50" s="690">
        <f t="shared" si="14"/>
        <v>0</v>
      </c>
      <c r="AS50" s="690">
        <f t="shared" si="14"/>
        <v>0</v>
      </c>
      <c r="AT50" s="690">
        <f t="shared" si="14"/>
        <v>0</v>
      </c>
      <c r="AU50" s="690">
        <f t="shared" si="14"/>
        <v>0</v>
      </c>
      <c r="AV50" s="690">
        <f t="shared" si="14"/>
        <v>0</v>
      </c>
      <c r="AW50" s="690">
        <f t="shared" si="14"/>
        <v>0</v>
      </c>
      <c r="AX50" s="690">
        <f t="shared" si="14"/>
        <v>0</v>
      </c>
      <c r="AY50" s="690">
        <f t="shared" si="14"/>
        <v>0</v>
      </c>
      <c r="AZ50" s="690">
        <f t="shared" si="14"/>
        <v>0</v>
      </c>
      <c r="BA50" s="690">
        <f t="shared" si="14"/>
        <v>0</v>
      </c>
      <c r="BB50" s="690">
        <f t="shared" si="14"/>
        <v>0</v>
      </c>
      <c r="BC50" s="690">
        <f t="shared" si="14"/>
        <v>0</v>
      </c>
      <c r="BD50" s="690">
        <f t="shared" si="14"/>
        <v>0</v>
      </c>
      <c r="BE50" s="690">
        <f t="shared" si="14"/>
        <v>0</v>
      </c>
      <c r="BF50" s="690">
        <f t="shared" si="14"/>
        <v>0</v>
      </c>
      <c r="BG50" s="690">
        <f t="shared" si="14"/>
        <v>0</v>
      </c>
      <c r="BH50" s="690">
        <f t="shared" si="14"/>
        <v>0</v>
      </c>
      <c r="BI50" s="690">
        <f t="shared" si="14"/>
        <v>0</v>
      </c>
      <c r="BJ50" s="690">
        <f t="shared" si="14"/>
        <v>0</v>
      </c>
      <c r="BK50" s="692">
        <f t="shared" si="14"/>
        <v>0</v>
      </c>
      <c r="BL50" s="690">
        <f t="shared" si="14"/>
        <v>0</v>
      </c>
      <c r="BM50" s="690">
        <f t="shared" si="14"/>
        <v>0</v>
      </c>
      <c r="BN50" s="690">
        <f t="shared" si="14"/>
        <v>0</v>
      </c>
      <c r="BO50" s="690">
        <f t="shared" si="14"/>
        <v>0</v>
      </c>
      <c r="BP50" s="690">
        <f t="shared" ref="BP50:CY50" si="15">SUM(BP45:BP49)</f>
        <v>0</v>
      </c>
      <c r="BQ50" s="690">
        <f t="shared" si="15"/>
        <v>0</v>
      </c>
      <c r="BR50" s="690">
        <f t="shared" si="15"/>
        <v>0</v>
      </c>
      <c r="BS50" s="690">
        <f t="shared" si="15"/>
        <v>0</v>
      </c>
      <c r="BT50" s="690">
        <f t="shared" si="15"/>
        <v>0</v>
      </c>
      <c r="BU50" s="690">
        <f t="shared" si="15"/>
        <v>0</v>
      </c>
      <c r="BV50" s="690">
        <f t="shared" si="15"/>
        <v>0</v>
      </c>
      <c r="BW50" s="690">
        <f t="shared" si="15"/>
        <v>0</v>
      </c>
      <c r="BX50" s="690">
        <f t="shared" si="15"/>
        <v>0</v>
      </c>
      <c r="BY50" s="690">
        <f t="shared" si="15"/>
        <v>0</v>
      </c>
      <c r="BZ50" s="690">
        <f t="shared" si="15"/>
        <v>0</v>
      </c>
      <c r="CA50" s="692">
        <f t="shared" si="15"/>
        <v>0</v>
      </c>
      <c r="CB50" s="690">
        <f t="shared" si="15"/>
        <v>0</v>
      </c>
      <c r="CC50" s="690">
        <f t="shared" si="15"/>
        <v>0</v>
      </c>
      <c r="CD50" s="690">
        <f t="shared" si="15"/>
        <v>0</v>
      </c>
      <c r="CE50" s="690">
        <f t="shared" si="15"/>
        <v>0</v>
      </c>
      <c r="CF50" s="690">
        <f t="shared" si="15"/>
        <v>0</v>
      </c>
      <c r="CG50" s="690">
        <f t="shared" si="15"/>
        <v>0</v>
      </c>
      <c r="CH50" s="690">
        <f t="shared" si="15"/>
        <v>0</v>
      </c>
      <c r="CI50" s="690">
        <f t="shared" si="15"/>
        <v>0</v>
      </c>
      <c r="CJ50" s="690">
        <f t="shared" si="15"/>
        <v>0</v>
      </c>
      <c r="CK50" s="690">
        <f t="shared" si="15"/>
        <v>0</v>
      </c>
      <c r="CL50" s="690">
        <f t="shared" si="15"/>
        <v>0</v>
      </c>
      <c r="CM50" s="690">
        <f t="shared" si="15"/>
        <v>0</v>
      </c>
      <c r="CN50" s="690">
        <f t="shared" si="15"/>
        <v>0</v>
      </c>
      <c r="CO50" s="690">
        <f t="shared" si="15"/>
        <v>0</v>
      </c>
      <c r="CP50" s="690">
        <f t="shared" si="15"/>
        <v>0</v>
      </c>
      <c r="CQ50" s="690">
        <f t="shared" si="15"/>
        <v>0</v>
      </c>
      <c r="CR50" s="690">
        <f t="shared" si="15"/>
        <v>0</v>
      </c>
      <c r="CS50" s="690">
        <f t="shared" si="15"/>
        <v>0</v>
      </c>
      <c r="CT50" s="690">
        <f t="shared" si="15"/>
        <v>0</v>
      </c>
      <c r="CU50" s="690">
        <f t="shared" si="15"/>
        <v>0</v>
      </c>
      <c r="CV50" s="690">
        <f t="shared" si="15"/>
        <v>0</v>
      </c>
      <c r="CW50" s="690">
        <f t="shared" si="15"/>
        <v>0</v>
      </c>
      <c r="CX50" s="690">
        <f t="shared" si="15"/>
        <v>0</v>
      </c>
      <c r="CY50" s="693">
        <f t="shared" si="15"/>
        <v>0</v>
      </c>
    </row>
    <row r="51" spans="1:103" ht="15" customHeight="1" x14ac:dyDescent="0.3">
      <c r="A51" s="709" t="s">
        <v>4</v>
      </c>
      <c r="B51" s="20" t="s">
        <v>4</v>
      </c>
      <c r="C51" s="685">
        <f t="shared" ref="C51:C60" si="16">SUM(D51:CY51)</f>
        <v>0</v>
      </c>
      <c r="D51" s="552">
        <f>IF('Lookup Tables'!K3="VERSION_1",'Data Entry'!$K$129,IF('Lookup Tables'!K3="VERSION_3",'Data Entry'!K166,IF('Lookup Tables'!K3="VERSION_2",'Data Entry'!K146,0)))</f>
        <v>0</v>
      </c>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F51" s="499"/>
      <c r="AG51" s="499"/>
      <c r="AH51" s="499"/>
      <c r="AI51" s="499"/>
      <c r="AJ51" s="499"/>
      <c r="AK51" s="499"/>
      <c r="AL51" s="499"/>
      <c r="AM51" s="499"/>
      <c r="AN51" s="499"/>
      <c r="AO51" s="500"/>
      <c r="AP51" s="499"/>
      <c r="AQ51" s="499"/>
      <c r="AR51" s="499"/>
      <c r="AS51" s="499"/>
      <c r="AT51" s="499"/>
      <c r="AU51" s="499"/>
      <c r="AV51" s="499"/>
      <c r="AW51" s="499"/>
      <c r="AX51" s="499"/>
      <c r="AY51" s="499"/>
      <c r="AZ51" s="499"/>
      <c r="BA51" s="499"/>
      <c r="BB51" s="499"/>
      <c r="BC51" s="499"/>
      <c r="BD51" s="499"/>
      <c r="BE51" s="499"/>
      <c r="BF51" s="499"/>
      <c r="BG51" s="499"/>
      <c r="BH51" s="499"/>
      <c r="BI51" s="499"/>
      <c r="BJ51" s="499"/>
      <c r="BK51" s="500"/>
      <c r="BL51" s="499"/>
      <c r="BM51" s="499"/>
      <c r="BN51" s="499"/>
      <c r="BO51" s="499"/>
      <c r="BP51" s="499"/>
      <c r="BQ51" s="499"/>
      <c r="BR51" s="499"/>
      <c r="BS51" s="499"/>
      <c r="BT51" s="499"/>
      <c r="BU51" s="499"/>
      <c r="BV51" s="499"/>
      <c r="BW51" s="499"/>
      <c r="BX51" s="499"/>
      <c r="BY51" s="499"/>
      <c r="BZ51" s="499"/>
      <c r="CA51" s="500"/>
      <c r="CB51" s="499"/>
      <c r="CC51" s="499"/>
      <c r="CD51" s="499"/>
      <c r="CE51" s="499"/>
      <c r="CF51" s="499"/>
      <c r="CG51" s="499"/>
      <c r="CH51" s="499"/>
      <c r="CI51" s="499"/>
      <c r="CJ51" s="499"/>
      <c r="CK51" s="499"/>
      <c r="CL51" s="499"/>
      <c r="CM51" s="499"/>
      <c r="CN51" s="499"/>
      <c r="CO51" s="499"/>
      <c r="CP51" s="499"/>
      <c r="CQ51" s="499"/>
      <c r="CR51" s="499"/>
      <c r="CS51" s="499"/>
      <c r="CT51" s="499"/>
      <c r="CU51" s="499"/>
      <c r="CV51" s="499"/>
      <c r="CW51" s="499"/>
      <c r="CX51" s="499"/>
      <c r="CY51" s="575"/>
    </row>
    <row r="52" spans="1:103" ht="15" customHeight="1" x14ac:dyDescent="0.3">
      <c r="A52" s="709" t="s">
        <v>524</v>
      </c>
      <c r="B52" s="20" t="s">
        <v>29</v>
      </c>
      <c r="C52" s="685">
        <f t="shared" si="16"/>
        <v>0</v>
      </c>
      <c r="D52" s="172"/>
      <c r="E52" s="172"/>
      <c r="F52" s="172"/>
      <c r="G52" s="172"/>
      <c r="H52" s="172"/>
      <c r="I52" s="172"/>
      <c r="J52" s="172"/>
      <c r="K52" s="172"/>
      <c r="L52" s="172"/>
      <c r="M52" s="172"/>
      <c r="N52" s="172"/>
      <c r="O52" s="172"/>
      <c r="P52" s="172"/>
      <c r="Q52" s="172"/>
      <c r="R52" s="172"/>
      <c r="S52" s="172"/>
      <c r="T52" s="172"/>
      <c r="U52" s="549">
        <f>('Data Entry'!$B$59*'Income Data'!$G$10)</f>
        <v>0</v>
      </c>
      <c r="W52" s="549">
        <f>('Data Entry'!$B$61*'Income Data'!$G$14)+('Data Entry'!$B$65*'Income Data'!$G$17)</f>
        <v>0</v>
      </c>
      <c r="Y52" s="172"/>
      <c r="Z52" s="549">
        <f>('Data Entry'!$B$59*'Income Data'!$G$10)</f>
        <v>0</v>
      </c>
      <c r="AB52" s="549">
        <f>('Data Entry'!$B$61*'Income Data'!$G$14)+('Data Entry'!$B$65*'Income Data'!$G$18)</f>
        <v>0</v>
      </c>
      <c r="AD52" s="172"/>
      <c r="AE52" s="549">
        <f>('Data Entry'!$B$59*'Income Data'!$G$10)</f>
        <v>0</v>
      </c>
      <c r="AF52" s="42"/>
      <c r="AG52" s="549">
        <f>('Data Entry'!$B$61*'Income Data'!$G$14)+('Data Entry'!$B$65*'Income Data'!$G$19)</f>
        <v>0</v>
      </c>
      <c r="AH52" s="682">
        <f>IF(AH3&lt;'Data Entry'!B13,'Data Entry'!$B$60*'Income Data'!$G$13,0)</f>
        <v>0</v>
      </c>
      <c r="AI52" s="172"/>
      <c r="AJ52" s="549">
        <f>IF(AJ3&lt;'Data Entry'!B13,('Data Entry'!$B$59*'Income Data'!$G$10),0)</f>
        <v>0</v>
      </c>
      <c r="AK52" s="42"/>
      <c r="AL52" s="549">
        <f>IF(AL3&lt;'Data Entry'!B13,('Data Entry'!$B$61*'Income Data'!$G$14)+('Data Entry'!$B$65*'Income Data'!$G$20),0)</f>
        <v>0</v>
      </c>
      <c r="AM52" s="682">
        <f>IF(AM3&lt;'Data Entry'!B13,'Data Entry'!$B$60*'Income Data'!$G$13,0)</f>
        <v>0</v>
      </c>
      <c r="AN52" s="172"/>
      <c r="AO52" s="173"/>
      <c r="AP52" s="172"/>
      <c r="AQ52" s="549">
        <f>IF(AQ3&lt;'Data Entry'!B13,('Data Entry'!$B$61*'Income Data'!$G$14)+('Data Entry'!$B$65*'Income Data'!$G$21),0)</f>
        <v>0</v>
      </c>
      <c r="AR52" s="682">
        <f>IF(AR$3&lt;'Data Entry'!$B$13,'Data Entry'!$B$60*'Income Data'!$G$13,0)</f>
        <v>0</v>
      </c>
      <c r="AS52" s="172"/>
      <c r="AT52" s="172"/>
      <c r="AU52" s="172"/>
      <c r="AV52" s="549">
        <f>IF(AV3&lt;'Data Entry'!B13,('Data Entry'!$B$61*'Income Data'!$G$14)+('Data Entry'!$B$65*'Income Data'!$G$22),0)</f>
        <v>0</v>
      </c>
      <c r="AW52" s="682">
        <f>IF(AW$3&lt;'Data Entry'!$B$13,'Data Entry'!$B$60*'Income Data'!$G$13,0)</f>
        <v>0</v>
      </c>
      <c r="AX52" s="172"/>
      <c r="AY52" s="172"/>
      <c r="AZ52" s="172"/>
      <c r="BA52" s="549">
        <f>IF(BA3&lt;'Data Entry'!B13,('Data Entry'!$B$61*'Income Data'!$G$14)+('Data Entry'!$B$65*'Income Data'!$G$23),0)</f>
        <v>0</v>
      </c>
      <c r="BB52" s="682">
        <f>IF(BB$3&lt;'Data Entry'!$B$13,'Data Entry'!$B$60*'Income Data'!$G$13,0)</f>
        <v>0</v>
      </c>
      <c r="BC52" s="172"/>
      <c r="BD52" s="172"/>
      <c r="BE52" s="172"/>
      <c r="BF52" s="549">
        <f>IF(BF3&lt;'Data Entry'!B13,('Data Entry'!$B$61*'Income Data'!$G$14)+('Data Entry'!$B$65*'Income Data'!$G$24),0)</f>
        <v>0</v>
      </c>
      <c r="BG52" s="549">
        <f>IF(BG3&lt;'Data Entry'!$B13,('Data Entry'!$B$59*'Income Data'!$G$10+'Data Entry'!$B$60*'Income Data'!$G$13),0)</f>
        <v>0</v>
      </c>
      <c r="BH52" s="42"/>
      <c r="BI52" s="172"/>
      <c r="BJ52" s="172"/>
      <c r="BK52" s="553">
        <f>IF(BK3&lt;'Data Entry'!B13,('Data Entry'!B65*'Income Data'!G25),0)</f>
        <v>0</v>
      </c>
      <c r="BL52" s="549">
        <f>IF(BL3&lt;'Data Entry'!$B13,('Data Entry'!$B$59*'Income Data'!$G$10+'Data Entry'!$B$60*'Income Data'!$G$13),0)</f>
        <v>0</v>
      </c>
      <c r="BM52" s="42"/>
      <c r="BN52" s="172"/>
      <c r="BO52" s="172"/>
      <c r="BP52" s="549">
        <f>IF(BP3&lt;'Data Entry'!B13,('Data Entry'!B65*'Income Data'!G26),0)</f>
        <v>0</v>
      </c>
      <c r="BQ52" s="549">
        <f>IF(BQ3&lt;'Data Entry'!$B13,('Data Entry'!$B$59*'Income Data'!$G$10+'Data Entry'!$B$60*'Income Data'!$G$13),0)</f>
        <v>0</v>
      </c>
      <c r="BR52" s="42"/>
      <c r="BS52" s="172"/>
      <c r="BT52" s="172"/>
      <c r="BU52" s="549">
        <f>IF(BU3&lt;'Data Entry'!B13-1,('Data Entry'!B65*'Income Data'!G27),0)</f>
        <v>0</v>
      </c>
      <c r="BV52" s="549">
        <f>IF(BV3&lt;'Data Entry'!$B13-1,('Data Entry'!$B$59*'Income Data'!$G$10+'Data Entry'!$B$60*'Income Data'!$G$13),0)</f>
        <v>0</v>
      </c>
      <c r="BW52" s="42"/>
      <c r="BX52" s="172"/>
      <c r="BY52" s="172"/>
      <c r="BZ52" s="562">
        <f>IF(BZ3&lt;'Data Entry'!B13,('Data Entry'!B65*'Income Data'!G28), 0)</f>
        <v>0</v>
      </c>
      <c r="CA52" s="684"/>
      <c r="CB52" s="172"/>
      <c r="CC52" s="172"/>
      <c r="CD52" s="172"/>
      <c r="CE52" s="549">
        <f>IF(CE3&lt;'Data Entry'!B13,('Data Entry'!$B$61*'Income Data'!$G$14)+('Data Entry'!B65*'Income Data'!G29),0)</f>
        <v>0</v>
      </c>
      <c r="CF52" s="179"/>
      <c r="CG52" s="172"/>
      <c r="CH52" s="172"/>
      <c r="CI52" s="172"/>
      <c r="CJ52" s="549">
        <f>IF(CJ3&lt;'Data Entry'!B13,('Data Entry'!$B$61*'Income Data'!$G$14), 0)</f>
        <v>0</v>
      </c>
      <c r="CK52" s="179"/>
      <c r="CL52" s="172"/>
      <c r="CM52" s="172"/>
      <c r="CN52" s="172"/>
      <c r="CO52" s="549">
        <f>IF(CO3&lt;'Data Entry'!B13,('Data Entry'!$B$61*'Income Data'!$G$14), 0)</f>
        <v>0</v>
      </c>
      <c r="CP52" s="179"/>
      <c r="CQ52" s="172"/>
      <c r="CR52" s="172"/>
      <c r="CS52" s="549">
        <f>IF(CS3&lt;'Data Entry'!B13,('Data Entry'!$B$59*'Income Data'!$G$10), 0)</f>
        <v>0</v>
      </c>
      <c r="CT52" s="549">
        <f>IF(CT3&lt;'Data Entry'!B13,('Data Entry'!$B$61*'Income Data'!$G$14), 0)</f>
        <v>0</v>
      </c>
      <c r="CU52" s="42"/>
      <c r="CV52" s="172"/>
      <c r="CW52" s="172"/>
      <c r="CX52" s="172"/>
      <c r="CY52" s="562">
        <f>IF(CY3&lt;'Data Entry'!H13,('Data Entry'!$B$61*'Income Data'!$G$14), 0)</f>
        <v>0</v>
      </c>
    </row>
    <row r="53" spans="1:103" ht="15" customHeight="1" x14ac:dyDescent="0.3">
      <c r="A53" s="710" t="s">
        <v>524</v>
      </c>
      <c r="B53" s="346" t="s">
        <v>30</v>
      </c>
      <c r="C53" s="685">
        <f t="shared" si="16"/>
        <v>0</v>
      </c>
      <c r="D53" s="4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553">
        <f>IF(AO3&lt;'Data Entry'!B13,'Data Entry'!$I$59,0)</f>
        <v>0</v>
      </c>
      <c r="AP53" s="179"/>
      <c r="AQ53" s="172"/>
      <c r="AR53" s="42"/>
      <c r="AS53" s="172"/>
      <c r="AT53" s="172"/>
      <c r="AU53" s="172"/>
      <c r="AV53" s="172"/>
      <c r="AW53" s="172"/>
      <c r="AX53" s="172"/>
      <c r="AY53" s="172"/>
      <c r="AZ53" s="172"/>
      <c r="BA53" s="172"/>
      <c r="BB53" s="172"/>
      <c r="BC53" s="172"/>
      <c r="BD53" s="172"/>
      <c r="BE53" s="172"/>
      <c r="BF53" s="172"/>
      <c r="BG53" s="172"/>
      <c r="BH53" s="172"/>
      <c r="BI53" s="172"/>
      <c r="BJ53" s="172"/>
      <c r="BK53" s="553">
        <f>IF(BK3&lt;'Data Entry'!B13,'Data Entry'!I61,0)</f>
        <v>0</v>
      </c>
      <c r="BM53" s="172"/>
      <c r="BN53" s="172"/>
      <c r="BO53" s="172"/>
      <c r="BP53" s="172"/>
      <c r="BQ53" s="172"/>
      <c r="BR53" s="172"/>
      <c r="BS53" s="172"/>
      <c r="BT53" s="172"/>
      <c r="BU53" s="172"/>
      <c r="BV53" s="172"/>
      <c r="BW53" s="172"/>
      <c r="BX53" s="172"/>
      <c r="BY53" s="172"/>
      <c r="BZ53" s="172"/>
      <c r="CA53" s="553">
        <f>IF(CA3&lt;'Data Entry'!B13,'Data Entry'!I59+'Data Entry'!I60,0)</f>
        <v>0</v>
      </c>
      <c r="CC53" s="172"/>
      <c r="CD53" s="172"/>
      <c r="CE53" s="172"/>
      <c r="CF53" s="42"/>
      <c r="CG53" s="172"/>
      <c r="CH53" s="172"/>
      <c r="CI53" s="172"/>
      <c r="CJ53" s="172"/>
      <c r="CK53" s="172"/>
      <c r="CL53" s="172"/>
      <c r="CM53" s="172"/>
      <c r="CN53" s="172"/>
      <c r="CO53" s="172"/>
      <c r="CP53" s="172"/>
      <c r="CQ53" s="172"/>
      <c r="CR53" s="172"/>
      <c r="CS53" s="172"/>
      <c r="CT53" s="172"/>
      <c r="CU53" s="172"/>
      <c r="CV53" s="172"/>
      <c r="CW53" s="172"/>
      <c r="CX53" s="172"/>
      <c r="CY53" s="569"/>
    </row>
    <row r="54" spans="1:103" ht="15" customHeight="1" x14ac:dyDescent="0.3">
      <c r="A54" s="710" t="s">
        <v>524</v>
      </c>
      <c r="B54" s="346" t="s">
        <v>124</v>
      </c>
      <c r="C54" s="685">
        <f t="shared" si="16"/>
        <v>0</v>
      </c>
      <c r="D54" s="711">
        <f>IF(D3+1='Data Entry'!$B13,'Data Entry'!$K$69,0)</f>
        <v>0</v>
      </c>
      <c r="E54" s="711">
        <f>IF(E3+1='Data Entry'!$B13,'Data Entry'!$K$69,0)</f>
        <v>0</v>
      </c>
      <c r="F54" s="711">
        <f>IF(F3+1='Data Entry'!$B13,'Data Entry'!$K$69,0)</f>
        <v>0</v>
      </c>
      <c r="G54" s="711">
        <f>IF(G3+1='Data Entry'!$B13,'Data Entry'!$K$69,0)</f>
        <v>0</v>
      </c>
      <c r="H54" s="711">
        <f>IF(H3+1='Data Entry'!$B13,'Data Entry'!$K$69,0)</f>
        <v>0</v>
      </c>
      <c r="I54" s="711">
        <f>IF(I3+1='Data Entry'!$B13,'Data Entry'!$K$69,0)</f>
        <v>0</v>
      </c>
      <c r="J54" s="711">
        <f>IF(J3+1='Data Entry'!$B13,'Data Entry'!$K$69,0)</f>
        <v>0</v>
      </c>
      <c r="K54" s="711">
        <f>IF(K3+1='Data Entry'!$B13,'Data Entry'!$K$69,0)</f>
        <v>0</v>
      </c>
      <c r="L54" s="711">
        <f>IF(L3+1='Data Entry'!$B13,'Data Entry'!$K$69,0)</f>
        <v>0</v>
      </c>
      <c r="M54" s="711">
        <f>IF(M3+1='Data Entry'!$B13,'Data Entry'!$K$69,0)</f>
        <v>0</v>
      </c>
      <c r="N54" s="711">
        <f>IF(N3+1='Data Entry'!$B13,'Data Entry'!$K$69,0)</f>
        <v>0</v>
      </c>
      <c r="O54" s="711">
        <f>IF(O3+1='Data Entry'!$B13,'Data Entry'!$K$69,0)</f>
        <v>0</v>
      </c>
      <c r="P54" s="711">
        <f>IF(P3+1='Data Entry'!$B13,'Data Entry'!$K$69,0)</f>
        <v>0</v>
      </c>
      <c r="Q54" s="711">
        <f>IF(Q3+1='Data Entry'!$B13,'Data Entry'!$K$69,0)</f>
        <v>0</v>
      </c>
      <c r="R54" s="711">
        <f>IF(R3+1='Data Entry'!$B13,'Data Entry'!$K$69,0)</f>
        <v>0</v>
      </c>
      <c r="S54" s="711">
        <f>IF(S3+1='Data Entry'!$B13,'Data Entry'!$K$69,0)</f>
        <v>0</v>
      </c>
      <c r="T54" s="711">
        <f>IF(T3+1='Data Entry'!$B13,'Data Entry'!$K$69,0)</f>
        <v>0</v>
      </c>
      <c r="U54" s="711">
        <f>IF(U3+1='Data Entry'!$B13,'Data Entry'!$K$69,0)</f>
        <v>0</v>
      </c>
      <c r="V54" s="711">
        <f>IF(V3+1='Data Entry'!$B13,'Data Entry'!$K$69,0)</f>
        <v>0</v>
      </c>
      <c r="W54" s="711">
        <f>IF(W3+1='Data Entry'!$B13,'Data Entry'!$K$69,0)</f>
        <v>0</v>
      </c>
      <c r="X54" s="711">
        <f>IF(X3+1='Data Entry'!$B13,'Data Entry'!$K$69,0)</f>
        <v>0</v>
      </c>
      <c r="Y54" s="711">
        <f>IF(Y3+1='Data Entry'!$B13,'Data Entry'!$K$69,0)</f>
        <v>0</v>
      </c>
      <c r="Z54" s="711">
        <f>IF(Z3+1='Data Entry'!$B13,'Data Entry'!$K$69,0)</f>
        <v>0</v>
      </c>
      <c r="AA54" s="711">
        <f>IF(AA3+1='Data Entry'!$B13,'Data Entry'!$K$69,0)</f>
        <v>0</v>
      </c>
      <c r="AB54" s="711">
        <f>IF(AB3+1='Data Entry'!$B13,'Data Entry'!$K$69,0)</f>
        <v>0</v>
      </c>
      <c r="AC54" s="711">
        <f>IF(AC3+1='Data Entry'!$B13,'Data Entry'!$K$69,0)</f>
        <v>0</v>
      </c>
      <c r="AD54" s="711">
        <f>IF(AD3+1='Data Entry'!$B13,'Data Entry'!$K$69,0)</f>
        <v>0</v>
      </c>
      <c r="AE54" s="711">
        <f>IF(AE3+1='Data Entry'!$B13,'Data Entry'!$K$69,0)</f>
        <v>0</v>
      </c>
      <c r="AF54" s="711">
        <f>IF(AF3+1='Data Entry'!$B13,'Data Entry'!$K$69,0)</f>
        <v>0</v>
      </c>
      <c r="AG54" s="711">
        <f>IF(AG3+1='Data Entry'!$B13,'Data Entry'!$K$69,0)</f>
        <v>0</v>
      </c>
      <c r="AH54" s="711">
        <f>IF(AH3+1='Data Entry'!$B13,'Data Entry'!$K$69,0)</f>
        <v>0</v>
      </c>
      <c r="AI54" s="711">
        <f>IF(AI3+1='Data Entry'!$B13,'Data Entry'!$K$69,0)</f>
        <v>0</v>
      </c>
      <c r="AJ54" s="711">
        <f>IF(AJ3+1='Data Entry'!$B13,'Data Entry'!$K$69,0)</f>
        <v>0</v>
      </c>
      <c r="AK54" s="711">
        <f>IF(AK3+1='Data Entry'!$B13,'Data Entry'!$K$69,0)</f>
        <v>0</v>
      </c>
      <c r="AL54" s="711">
        <f>IF(AL3+1='Data Entry'!$B13,'Data Entry'!$K$69,0)</f>
        <v>0</v>
      </c>
      <c r="AM54" s="711">
        <f>IF(AM3+1='Data Entry'!$B13,'Data Entry'!$K$69,0)</f>
        <v>0</v>
      </c>
      <c r="AN54" s="711">
        <f>IF(AN3+1='Data Entry'!$B13,'Data Entry'!$K$69,0)</f>
        <v>0</v>
      </c>
      <c r="AO54" s="712">
        <f>IF(AO3+1='Data Entry'!$B13,'Data Entry'!$K$69,0)</f>
        <v>0</v>
      </c>
      <c r="AP54" s="711">
        <f>IF(AP3+1='Data Entry'!$B13,'Data Entry'!$K$69,0)</f>
        <v>0</v>
      </c>
      <c r="AQ54" s="711">
        <f>IF(AQ3+1='Data Entry'!$B13,'Data Entry'!$K$69,0)</f>
        <v>0</v>
      </c>
      <c r="AR54" s="711">
        <f>IF(AR3+1='Data Entry'!$B13,'Data Entry'!$K$69,0)</f>
        <v>0</v>
      </c>
      <c r="AS54" s="711">
        <f>IF(AS3+1='Data Entry'!$B13,'Data Entry'!$K$69,0)</f>
        <v>0</v>
      </c>
      <c r="AT54" s="711">
        <f>IF(AT3+1='Data Entry'!$B13,'Data Entry'!$K$69,0)</f>
        <v>0</v>
      </c>
      <c r="AU54" s="711">
        <f>IF(AU3+1='Data Entry'!$B13,'Data Entry'!$K$69,0)</f>
        <v>0</v>
      </c>
      <c r="AV54" s="711">
        <f>IF(AV3+1='Data Entry'!$B13,'Data Entry'!$K$69,0)</f>
        <v>0</v>
      </c>
      <c r="AW54" s="711">
        <f>IF(AW3+1='Data Entry'!$B13,'Data Entry'!$K$69,0)</f>
        <v>0</v>
      </c>
      <c r="AX54" s="711">
        <f>IF(AX3+1='Data Entry'!$B13,'Data Entry'!$K$69,0)</f>
        <v>0</v>
      </c>
      <c r="AY54" s="711">
        <f>IF(AY3+1='Data Entry'!$B13,'Data Entry'!$K$69,0)</f>
        <v>0</v>
      </c>
      <c r="AZ54" s="711">
        <f>IF(AZ3+1='Data Entry'!$B13,'Data Entry'!$K$69,0)</f>
        <v>0</v>
      </c>
      <c r="BA54" s="711">
        <f>IF(BA3+1='Data Entry'!$B13,'Data Entry'!$K$69,0)</f>
        <v>0</v>
      </c>
      <c r="BB54" s="711">
        <f>IF(BB3+1='Data Entry'!$B13,'Data Entry'!$K$69,0)</f>
        <v>0</v>
      </c>
      <c r="BC54" s="711">
        <f>IF(BC3+1='Data Entry'!$B13,'Data Entry'!$K$69,0)</f>
        <v>0</v>
      </c>
      <c r="BD54" s="711">
        <f>IF(BD3+1='Data Entry'!$B13,'Data Entry'!$K$69,0)</f>
        <v>0</v>
      </c>
      <c r="BE54" s="711">
        <f>IF(BE3+1='Data Entry'!$B13,'Data Entry'!$K$69,0)</f>
        <v>0</v>
      </c>
      <c r="BF54" s="711">
        <f>IF(BF3+1='Data Entry'!$B13,'Data Entry'!$K$69,0)</f>
        <v>0</v>
      </c>
      <c r="BG54" s="711">
        <f>IF(BG3+1='Data Entry'!$B13,'Data Entry'!$K$69,0)</f>
        <v>0</v>
      </c>
      <c r="BH54" s="711">
        <f>IF(BH3+1='Data Entry'!$B13,'Data Entry'!$K$69,0)</f>
        <v>0</v>
      </c>
      <c r="BI54" s="711">
        <f>IF(BI3+1='Data Entry'!$B13,'Data Entry'!$K$69,0)</f>
        <v>0</v>
      </c>
      <c r="BJ54" s="711">
        <f>IF(BJ3+1='Data Entry'!$B13,'Data Entry'!$K$69,0)</f>
        <v>0</v>
      </c>
      <c r="BK54" s="712">
        <f>IF(BK3+1='Data Entry'!$B13,'Data Entry'!$K$69,0)</f>
        <v>0</v>
      </c>
      <c r="BL54" s="711">
        <f>IF(BL3+1='Data Entry'!$B13,'Data Entry'!$K$69,0)</f>
        <v>0</v>
      </c>
      <c r="BM54" s="711">
        <f>IF(BM3+1='Data Entry'!$B13,'Data Entry'!$K$69,0)</f>
        <v>0</v>
      </c>
      <c r="BN54" s="711">
        <f>IF(BN3+1='Data Entry'!$B13,'Data Entry'!$K$69,0)</f>
        <v>0</v>
      </c>
      <c r="BO54" s="711">
        <f>IF(BO3+1='Data Entry'!$B13,'Data Entry'!$K$69,0)</f>
        <v>0</v>
      </c>
      <c r="BP54" s="711">
        <f>IF(BP3+1='Data Entry'!$B13,'Data Entry'!$K$69,0)</f>
        <v>0</v>
      </c>
      <c r="BQ54" s="711">
        <f>IF(BQ3+1='Data Entry'!$B13,'Data Entry'!$K$69,0)</f>
        <v>0</v>
      </c>
      <c r="BR54" s="711">
        <f>IF(BR3+1='Data Entry'!$B13,'Data Entry'!$K$69,0)</f>
        <v>0</v>
      </c>
      <c r="BS54" s="711">
        <f>IF(BS3+1='Data Entry'!$B13,'Data Entry'!$K$69,0)</f>
        <v>0</v>
      </c>
      <c r="BT54" s="711">
        <f>IF(BT3+1='Data Entry'!$B13,'Data Entry'!$K$69,0)</f>
        <v>0</v>
      </c>
      <c r="BU54" s="711">
        <f>IF(BU3+1='Data Entry'!$B13,'Data Entry'!$K$69,0)</f>
        <v>0</v>
      </c>
      <c r="BV54" s="711">
        <f>IF(BV3+1='Data Entry'!$B13,'Data Entry'!$K$69,0)</f>
        <v>0</v>
      </c>
      <c r="BW54" s="711">
        <f>IF(BW3+1='Data Entry'!$B13,'Data Entry'!$K$69,0)</f>
        <v>0</v>
      </c>
      <c r="BX54" s="711">
        <f>IF(BX3+1='Data Entry'!$B13,'Data Entry'!$K$69,0)</f>
        <v>0</v>
      </c>
      <c r="BY54" s="711">
        <f>IF(BY3+1='Data Entry'!$B13,'Data Entry'!$K$69,0)</f>
        <v>0</v>
      </c>
      <c r="BZ54" s="711">
        <f>IF(BZ3+1='Data Entry'!$B13,'Data Entry'!$K$69,0)</f>
        <v>0</v>
      </c>
      <c r="CA54" s="712">
        <f>IF(CA3+1='Data Entry'!$B13,'Data Entry'!$K$69,0)</f>
        <v>0</v>
      </c>
      <c r="CB54" s="711">
        <f>IF(CB3+1='Data Entry'!$B13,'Data Entry'!$K$69,0)</f>
        <v>0</v>
      </c>
      <c r="CC54" s="711">
        <f>IF(CC3+1='Data Entry'!$B13,'Data Entry'!$K$69,0)</f>
        <v>0</v>
      </c>
      <c r="CD54" s="711">
        <f>IF(CD3+1='Data Entry'!$B13,'Data Entry'!$K$69,0)</f>
        <v>0</v>
      </c>
      <c r="CE54" s="711">
        <f>IF(CE3+1='Data Entry'!$B13,'Data Entry'!$K$69,0)</f>
        <v>0</v>
      </c>
      <c r="CF54" s="711">
        <f>IF(CF3+1='Data Entry'!$B13,'Data Entry'!$K$69,0)</f>
        <v>0</v>
      </c>
      <c r="CG54" s="711">
        <f>IF(CG3+1='Data Entry'!$B13,'Data Entry'!$K$69,0)</f>
        <v>0</v>
      </c>
      <c r="CH54" s="711">
        <f>IF(CH3+1='Data Entry'!$B13,'Data Entry'!$K$69,0)</f>
        <v>0</v>
      </c>
      <c r="CI54" s="711">
        <f>IF(CI3+1='Data Entry'!$B13,'Data Entry'!$K$69,0)</f>
        <v>0</v>
      </c>
      <c r="CJ54" s="711">
        <f>IF(CJ3+1='Data Entry'!$B13,'Data Entry'!$K$69,0)</f>
        <v>0</v>
      </c>
      <c r="CK54" s="711">
        <f>IF(CK3+1='Data Entry'!$B13,'Data Entry'!$K$69,0)</f>
        <v>0</v>
      </c>
      <c r="CL54" s="711">
        <f>IF(CL3+1='Data Entry'!$B13,'Data Entry'!$K$69,0)</f>
        <v>0</v>
      </c>
      <c r="CM54" s="711">
        <f>IF(CM3+1='Data Entry'!$B13,'Data Entry'!$K$69,0)</f>
        <v>0</v>
      </c>
      <c r="CN54" s="711">
        <f>IF(CN3+1='Data Entry'!$B13,'Data Entry'!$K$69,0)</f>
        <v>0</v>
      </c>
      <c r="CO54" s="711">
        <f>IF(CO3+1='Data Entry'!$B13,'Data Entry'!$K$69,0)</f>
        <v>0</v>
      </c>
      <c r="CP54" s="711">
        <f>IF(CP3+1='Data Entry'!$B13,'Data Entry'!$K$69,0)</f>
        <v>0</v>
      </c>
      <c r="CQ54" s="711">
        <f>IF(CQ3+1='Data Entry'!$B13,'Data Entry'!$K$69,0)</f>
        <v>0</v>
      </c>
      <c r="CR54" s="711">
        <f>IF(CR3+1='Data Entry'!$B13,'Data Entry'!$K$69,0)</f>
        <v>0</v>
      </c>
      <c r="CS54" s="711">
        <f>IF(CS3+1='Data Entry'!$B13,'Data Entry'!$K$69,0)</f>
        <v>0</v>
      </c>
      <c r="CT54" s="711">
        <f>IF(CT3+1='Data Entry'!$B13,'Data Entry'!$K$69,0)</f>
        <v>0</v>
      </c>
      <c r="CU54" s="711">
        <f>IF(CU3+1='Data Entry'!$B13,'Data Entry'!$K$69,0)</f>
        <v>0</v>
      </c>
      <c r="CV54" s="711">
        <f>IF(CV3+1='Data Entry'!$B13,'Data Entry'!$K$69,0)</f>
        <v>0</v>
      </c>
      <c r="CW54" s="711">
        <f>IF(CW3+1='Data Entry'!$B13,'Data Entry'!$K$69,0)</f>
        <v>0</v>
      </c>
      <c r="CX54" s="711">
        <f>IF(CX3+1='Data Entry'!$B13,'Data Entry'!$K$69,0)</f>
        <v>0</v>
      </c>
      <c r="CY54" s="713">
        <f>IF(CY3+1='Data Entry'!$B13,'Data Entry'!$K$69,0)</f>
        <v>0</v>
      </c>
    </row>
    <row r="55" spans="1:103" ht="15" customHeight="1" x14ac:dyDescent="0.3">
      <c r="A55" s="714" t="s">
        <v>57</v>
      </c>
      <c r="B55" s="178" t="str">
        <f>'Data Entry'!A90</f>
        <v>Other regular payments/sponsorships/donations (specify)</v>
      </c>
      <c r="C55" s="685">
        <f t="shared" si="16"/>
        <v>0</v>
      </c>
      <c r="D55" s="549">
        <f>IF(AND(D$3&lt;'Data Entry'!$B$13,D$3&lt;'Data Entry'!$C$90),'Data Entry'!$B$90,0)</f>
        <v>0</v>
      </c>
      <c r="E55" s="549">
        <f>IF(AND(E$3&lt;'Data Entry'!$B$13,E$3&lt;'Data Entry'!$C$90),'Data Entry'!$B$90,0)</f>
        <v>0</v>
      </c>
      <c r="F55" s="549">
        <f>IF(AND(F$3&lt;'Data Entry'!$B$13,F$3&lt;'Data Entry'!$C$90),'Data Entry'!$B$90,0)</f>
        <v>0</v>
      </c>
      <c r="G55" s="549">
        <f>IF(AND(G$3&lt;'Data Entry'!$B$13,G$3&lt;'Data Entry'!$C$90),'Data Entry'!$B$90,0)</f>
        <v>0</v>
      </c>
      <c r="H55" s="549">
        <f>IF(AND(H$3&lt;'Data Entry'!$B$13,H$3&lt;'Data Entry'!$C$90),'Data Entry'!$B$90,0)</f>
        <v>0</v>
      </c>
      <c r="I55" s="549">
        <f>IF(AND(I$3&lt;'Data Entry'!$B$13,I$3&lt;'Data Entry'!$C$90),'Data Entry'!$B$90,0)</f>
        <v>0</v>
      </c>
      <c r="J55" s="549">
        <f>IF(AND(J$3&lt;'Data Entry'!$B$13,J$3&lt;'Data Entry'!$C$90),'Data Entry'!$B$90,0)</f>
        <v>0</v>
      </c>
      <c r="K55" s="549">
        <f>IF(AND(K$3&lt;'Data Entry'!$B$13,K$3&lt;'Data Entry'!$C$90),'Data Entry'!$B$90,0)</f>
        <v>0</v>
      </c>
      <c r="L55" s="549">
        <f>IF(AND(L$3&lt;'Data Entry'!$B$13,L$3&lt;'Data Entry'!$C$90),'Data Entry'!$B$90,0)</f>
        <v>0</v>
      </c>
      <c r="M55" s="549">
        <f>IF(AND(M$3&lt;'Data Entry'!$B$13,M$3&lt;'Data Entry'!$C$90),'Data Entry'!$B$90,0)</f>
        <v>0</v>
      </c>
      <c r="N55" s="549">
        <f>IF(AND(N$3&lt;'Data Entry'!$B$13,N$3&lt;'Data Entry'!$C$90),'Data Entry'!$B$90,0)</f>
        <v>0</v>
      </c>
      <c r="O55" s="549">
        <f>IF(AND(O$3&lt;'Data Entry'!$B$13,O$3&lt;'Data Entry'!$C$90),'Data Entry'!$B$90,0)</f>
        <v>0</v>
      </c>
      <c r="P55" s="549">
        <f>IF(AND(P$3&lt;'Data Entry'!$B$13,P$3&lt;'Data Entry'!$C$90),'Data Entry'!$B$90,0)</f>
        <v>0</v>
      </c>
      <c r="Q55" s="549">
        <f>IF(AND(Q$3&lt;'Data Entry'!$B$13,Q$3&lt;'Data Entry'!$C$90),'Data Entry'!$B$90,0)</f>
        <v>0</v>
      </c>
      <c r="R55" s="549">
        <f>IF(AND(R$3&lt;'Data Entry'!$B$13,R$3&lt;'Data Entry'!$C$90),'Data Entry'!$B$90,0)</f>
        <v>0</v>
      </c>
      <c r="S55" s="549">
        <f>IF(AND(S$3&lt;'Data Entry'!$B$13,S$3&lt;'Data Entry'!$C$90),'Data Entry'!$B$90,0)</f>
        <v>0</v>
      </c>
      <c r="T55" s="549">
        <f>IF(AND(T$3&lt;'Data Entry'!$B$13,T$3&lt;'Data Entry'!$C$90),'Data Entry'!$B$90,0)</f>
        <v>0</v>
      </c>
      <c r="U55" s="549">
        <f>IF(AND(U$3&lt;'Data Entry'!$B$13,U$3&lt;'Data Entry'!$C$90),'Data Entry'!$B$90,0)</f>
        <v>0</v>
      </c>
      <c r="V55" s="549">
        <f>IF(AND(V$3&lt;'Data Entry'!$B$13,V$3&lt;'Data Entry'!$C$90),'Data Entry'!$B$90,0)</f>
        <v>0</v>
      </c>
      <c r="W55" s="549">
        <f>IF(AND(W$3&lt;'Data Entry'!$B$13,W$3&lt;'Data Entry'!$C$90),'Data Entry'!$B$90,0)</f>
        <v>0</v>
      </c>
      <c r="X55" s="549">
        <f>IF(AND(X$3&lt;'Data Entry'!$B$13,X$3&lt;'Data Entry'!$C$90),'Data Entry'!$B$90,0)</f>
        <v>0</v>
      </c>
      <c r="Y55" s="549">
        <f>IF(AND(Y$3&lt;'Data Entry'!$B$13,Y$3&lt;'Data Entry'!$C$90),'Data Entry'!$B$90,0)</f>
        <v>0</v>
      </c>
      <c r="Z55" s="549">
        <f>IF(AND(Z$3&lt;'Data Entry'!$B$13,Z$3&lt;'Data Entry'!$C$90),'Data Entry'!$B$90,0)</f>
        <v>0</v>
      </c>
      <c r="AA55" s="549">
        <f>IF(AND(AA$3&lt;'Data Entry'!$B$13,AA$3&lt;'Data Entry'!$C$90),'Data Entry'!$B$90,0)</f>
        <v>0</v>
      </c>
      <c r="AB55" s="549">
        <f>IF(AND(AB$3&lt;'Data Entry'!$B$13,AB$3&lt;'Data Entry'!$C$90),'Data Entry'!$B$90,0)</f>
        <v>0</v>
      </c>
      <c r="AC55" s="549">
        <f>IF(AND(AC$3&lt;'Data Entry'!$B$13,AC$3&lt;'Data Entry'!$C$90),'Data Entry'!$B$90,0)</f>
        <v>0</v>
      </c>
      <c r="AD55" s="549">
        <f>IF(AND(AD$3&lt;'Data Entry'!$B$13,AD$3&lt;'Data Entry'!$C$90),'Data Entry'!$B$90,0)</f>
        <v>0</v>
      </c>
      <c r="AE55" s="549">
        <f>IF(AND(AE$3&lt;'Data Entry'!$B$13,AE$3&lt;'Data Entry'!$C$90),'Data Entry'!$B$90,0)</f>
        <v>0</v>
      </c>
      <c r="AF55" s="549">
        <f>IF(AND(AF$3&lt;'Data Entry'!$B$13,AF$3&lt;'Data Entry'!$C$90),'Data Entry'!$B$90,0)</f>
        <v>0</v>
      </c>
      <c r="AG55" s="549">
        <f>IF(AND(AG$3&lt;'Data Entry'!$B$13,AG$3&lt;'Data Entry'!$C$90),'Data Entry'!$B$90,0)</f>
        <v>0</v>
      </c>
      <c r="AH55" s="549">
        <f>IF(AND(AH$3&lt;'Data Entry'!$B$13,AH$3&lt;'Data Entry'!$C$90),'Data Entry'!$B$90,0)</f>
        <v>0</v>
      </c>
      <c r="AI55" s="549">
        <f>IF(AND(AI$3&lt;'Data Entry'!$B$13,AI$3&lt;'Data Entry'!$C$90),'Data Entry'!$B$90,0)</f>
        <v>0</v>
      </c>
      <c r="AJ55" s="549">
        <f>IF(AND(AJ$3&lt;'Data Entry'!$B$13,AJ$3&lt;'Data Entry'!$C$90),'Data Entry'!$B$90,0)</f>
        <v>0</v>
      </c>
      <c r="AK55" s="549">
        <f>IF(AND(AK$3&lt;'Data Entry'!$B$13,AK$3&lt;'Data Entry'!$C$90),'Data Entry'!$B$90,0)</f>
        <v>0</v>
      </c>
      <c r="AL55" s="549">
        <f>IF(AND(AL$3&lt;'Data Entry'!$B$13,AL$3&lt;'Data Entry'!$C$90),'Data Entry'!$B$90,0)</f>
        <v>0</v>
      </c>
      <c r="AM55" s="549">
        <f>IF(AND(AM$3&lt;'Data Entry'!$B$13,AM$3&lt;'Data Entry'!$C$90),'Data Entry'!$B$90,0)</f>
        <v>0</v>
      </c>
      <c r="AN55" s="549">
        <f>IF(AND(AN$3&lt;'Data Entry'!$B$13,AN$3&lt;'Data Entry'!$C$90),'Data Entry'!$B$90,0)</f>
        <v>0</v>
      </c>
      <c r="AO55" s="553">
        <f>IF(AND(AO$3&lt;'Data Entry'!$B$13,AO$3&lt;'Data Entry'!$C$90),'Data Entry'!$B$90,0)</f>
        <v>0</v>
      </c>
      <c r="AP55" s="549">
        <f>IF(AND(AP$3&lt;'Data Entry'!$B$13,AP$3&lt;'Data Entry'!$C$90),'Data Entry'!$B$90,0)</f>
        <v>0</v>
      </c>
      <c r="AQ55" s="549">
        <f>IF(AND(AQ$3&lt;'Data Entry'!$B$13,AQ$3&lt;'Data Entry'!$C$90),'Data Entry'!$B$90,0)</f>
        <v>0</v>
      </c>
      <c r="AR55" s="549">
        <f>IF(AND(AR$3&lt;'Data Entry'!$B$13,AR$3&lt;'Data Entry'!$C$90),'Data Entry'!$B$90,0)</f>
        <v>0</v>
      </c>
      <c r="AS55" s="549">
        <f>IF(AND(AS$3&lt;'Data Entry'!$B$13,AS$3&lt;'Data Entry'!$C$90),'Data Entry'!$B$90,0)</f>
        <v>0</v>
      </c>
      <c r="AT55" s="549">
        <f>IF(AND(AT$3&lt;'Data Entry'!$B$13,AT$3&lt;'Data Entry'!$C$90),'Data Entry'!$B$90,0)</f>
        <v>0</v>
      </c>
      <c r="AU55" s="549">
        <f>IF(AND(AU$3&lt;'Data Entry'!$B$13,AU$3&lt;'Data Entry'!$C$90),'Data Entry'!$B$90,0)</f>
        <v>0</v>
      </c>
      <c r="AV55" s="549">
        <f>IF(AND(AV$3&lt;'Data Entry'!$B$13,AV$3&lt;'Data Entry'!$C$90),'Data Entry'!$B$90,0)</f>
        <v>0</v>
      </c>
      <c r="AW55" s="549">
        <f>IF(AND(AW$3&lt;'Data Entry'!$B$13,AW$3&lt;'Data Entry'!$C$90),'Data Entry'!$B$90,0)</f>
        <v>0</v>
      </c>
      <c r="AX55" s="549">
        <f>IF(AND(AX$3&lt;'Data Entry'!$B$13,AX$3&lt;'Data Entry'!$C$90),'Data Entry'!$B$90,0)</f>
        <v>0</v>
      </c>
      <c r="AY55" s="549">
        <f>IF(AND(AY$3&lt;'Data Entry'!$B$13,AY$3&lt;'Data Entry'!$C$90),'Data Entry'!$B$90,0)</f>
        <v>0</v>
      </c>
      <c r="AZ55" s="549">
        <f>IF(AND(AZ$3&lt;'Data Entry'!$B$13,AZ$3&lt;'Data Entry'!$C$90),'Data Entry'!$B$90,0)</f>
        <v>0</v>
      </c>
      <c r="BA55" s="549">
        <f>IF(AND(BA$3&lt;'Data Entry'!$B$13,BA$3&lt;'Data Entry'!$C$90),'Data Entry'!$B$90,0)</f>
        <v>0</v>
      </c>
      <c r="BB55" s="549">
        <f>IF(AND(BB$3&lt;'Data Entry'!$B$13,BB$3&lt;'Data Entry'!$C$90),'Data Entry'!$B$90,0)</f>
        <v>0</v>
      </c>
      <c r="BC55" s="549">
        <f>IF(AND(BC$3&lt;'Data Entry'!$B$13,BC$3&lt;'Data Entry'!$C$90),'Data Entry'!$B$90,0)</f>
        <v>0</v>
      </c>
      <c r="BD55" s="549">
        <f>IF(AND(BD$3&lt;'Data Entry'!$B$13,BD$3&lt;'Data Entry'!$C$90),'Data Entry'!$B$90,0)</f>
        <v>0</v>
      </c>
      <c r="BE55" s="549">
        <f>IF(AND(BE$3&lt;'Data Entry'!$B$13,BE$3&lt;'Data Entry'!$C$90),'Data Entry'!$B$90,0)</f>
        <v>0</v>
      </c>
      <c r="BF55" s="549">
        <f>IF(AND(BF$3&lt;'Data Entry'!$B$13,BF$3&lt;'Data Entry'!$C$90),'Data Entry'!$B$90,0)</f>
        <v>0</v>
      </c>
      <c r="BG55" s="549">
        <f>IF(AND(BG$3&lt;'Data Entry'!$B$13,BG$3&lt;'Data Entry'!$C$90),'Data Entry'!$B$90,0)</f>
        <v>0</v>
      </c>
      <c r="BH55" s="549">
        <f>IF(AND(BH$3&lt;'Data Entry'!$B$13,BH$3&lt;'Data Entry'!$C$90),'Data Entry'!$B$90,0)</f>
        <v>0</v>
      </c>
      <c r="BI55" s="549">
        <f>IF(AND(BI$3&lt;'Data Entry'!$B$13,BI$3&lt;'Data Entry'!$C$90),'Data Entry'!$B$90,0)</f>
        <v>0</v>
      </c>
      <c r="BJ55" s="549">
        <f>IF(AND(BJ$3&lt;'Data Entry'!$B$13,BJ$3&lt;'Data Entry'!$C$90),'Data Entry'!$B$90,0)</f>
        <v>0</v>
      </c>
      <c r="BK55" s="553">
        <f>IF(AND(BK$3&lt;'Data Entry'!$B$13,BK$3&lt;'Data Entry'!$C$90),'Data Entry'!$B$90,0)</f>
        <v>0</v>
      </c>
      <c r="BL55" s="549">
        <f>IF(AND(BL$3&lt;'Data Entry'!$B$13,BL$3&lt;'Data Entry'!$C$90),'Data Entry'!$B$90,0)</f>
        <v>0</v>
      </c>
      <c r="BM55" s="549">
        <f>IF(AND(BM$3&lt;'Data Entry'!$B$13,BM$3&lt;'Data Entry'!$C$90),'Data Entry'!$B$90,0)</f>
        <v>0</v>
      </c>
      <c r="BN55" s="549">
        <f>IF(AND(BN$3&lt;'Data Entry'!$B$13,BN$3&lt;'Data Entry'!$C$90),'Data Entry'!$B$90,0)</f>
        <v>0</v>
      </c>
      <c r="BO55" s="549">
        <f>IF(AND(BO$3&lt;'Data Entry'!$B$13,BO$3&lt;'Data Entry'!$C$90),'Data Entry'!$B$90,0)</f>
        <v>0</v>
      </c>
      <c r="BP55" s="549">
        <f>IF(AND(BP$3&lt;'Data Entry'!$B$13,BP$3&lt;'Data Entry'!$C$90),'Data Entry'!$B$90,0)</f>
        <v>0</v>
      </c>
      <c r="BQ55" s="549">
        <f>IF(AND(BQ$3&lt;'Data Entry'!$B$13,BQ$3&lt;'Data Entry'!$C$90),'Data Entry'!$B$90,0)</f>
        <v>0</v>
      </c>
      <c r="BR55" s="549">
        <f>IF(AND(BR$3&lt;'Data Entry'!$B$13,BR$3&lt;'Data Entry'!$C$90),'Data Entry'!$B$90,0)</f>
        <v>0</v>
      </c>
      <c r="BS55" s="549">
        <f>IF(AND(BS$3&lt;'Data Entry'!$B$13,BS$3&lt;'Data Entry'!$C$90),'Data Entry'!$B$90,0)</f>
        <v>0</v>
      </c>
      <c r="BT55" s="549">
        <f>IF(AND(BT$3&lt;'Data Entry'!$B$13,BT$3&lt;'Data Entry'!$C$90),'Data Entry'!$B$90,0)</f>
        <v>0</v>
      </c>
      <c r="BU55" s="549">
        <f>IF(AND(BU$3&lt;'Data Entry'!$B$13,BU$3&lt;'Data Entry'!$C$90),'Data Entry'!$B$90,0)</f>
        <v>0</v>
      </c>
      <c r="BV55" s="549">
        <f>IF(AND(BV$3&lt;'Data Entry'!$B$13,BV$3&lt;'Data Entry'!$C$90),'Data Entry'!$B$90,0)</f>
        <v>0</v>
      </c>
      <c r="BW55" s="549">
        <f>IF(AND(BW$3&lt;'Data Entry'!$B$13,BW$3&lt;'Data Entry'!$C$90),'Data Entry'!$B$90,0)</f>
        <v>0</v>
      </c>
      <c r="BX55" s="549">
        <f>IF(AND(BX$3&lt;'Data Entry'!$B$13,BX$3&lt;'Data Entry'!$C$90),'Data Entry'!$B$90,0)</f>
        <v>0</v>
      </c>
      <c r="BY55" s="549">
        <f>IF(AND(BY$3&lt;'Data Entry'!$B$13,BY$3&lt;'Data Entry'!$C$90),'Data Entry'!$B$90,0)</f>
        <v>0</v>
      </c>
      <c r="BZ55" s="549">
        <f>IF(AND(BZ$3&lt;'Data Entry'!$B$13,BZ$3&lt;'Data Entry'!$C$90),'Data Entry'!$B$90,0)</f>
        <v>0</v>
      </c>
      <c r="CA55" s="553">
        <f>IF(AND(CA$3&lt;'Data Entry'!$B$13,CA$3&lt;'Data Entry'!$C$90),'Data Entry'!$B$90,0)</f>
        <v>0</v>
      </c>
      <c r="CB55" s="549">
        <f>IF(AND(CB$3&lt;'Data Entry'!$B$13,CB$3&lt;'Data Entry'!$C$90),'Data Entry'!$B$90,0)</f>
        <v>0</v>
      </c>
      <c r="CC55" s="549">
        <f>IF(AND(CC$3&lt;'Data Entry'!$B$13,CC$3&lt;'Data Entry'!$C$90),'Data Entry'!$B$90,0)</f>
        <v>0</v>
      </c>
      <c r="CD55" s="549">
        <f>IF(AND(CD$3&lt;'Data Entry'!$B$13,CD$3&lt;'Data Entry'!$C$90),'Data Entry'!$B$90,0)</f>
        <v>0</v>
      </c>
      <c r="CE55" s="549">
        <f>IF(AND(CE$3&lt;'Data Entry'!$B$13,CE$3&lt;'Data Entry'!$C$90),'Data Entry'!$B$90,0)</f>
        <v>0</v>
      </c>
      <c r="CF55" s="549">
        <f>IF(AND(CF$3&lt;'Data Entry'!$B$13,CF$3&lt;'Data Entry'!$C$90),'Data Entry'!$B$90,0)</f>
        <v>0</v>
      </c>
      <c r="CG55" s="549">
        <f>IF(AND(CG$3&lt;'Data Entry'!$B$13,CG$3&lt;'Data Entry'!$C$90),'Data Entry'!$B$90,0)</f>
        <v>0</v>
      </c>
      <c r="CH55" s="549">
        <f>IF(AND(CH$3&lt;'Data Entry'!$B$13,CH$3&lt;'Data Entry'!$C$90),'Data Entry'!$B$90,0)</f>
        <v>0</v>
      </c>
      <c r="CI55" s="549">
        <f>IF(AND(CI$3&lt;'Data Entry'!$B$13,CI$3&lt;'Data Entry'!$C$90),'Data Entry'!$B$90,0)</f>
        <v>0</v>
      </c>
      <c r="CJ55" s="549">
        <f>IF(AND(CJ$3&lt;'Data Entry'!$B$13,CJ$3&lt;'Data Entry'!$C$90),'Data Entry'!$B$90,0)</f>
        <v>0</v>
      </c>
      <c r="CK55" s="549">
        <f>IF(AND(CK$3&lt;'Data Entry'!$B$13,CK$3&lt;'Data Entry'!$C$90),'Data Entry'!$B$90,0)</f>
        <v>0</v>
      </c>
      <c r="CL55" s="549">
        <f>IF(AND(CL$3&lt;'Data Entry'!$B$13,CL$3&lt;'Data Entry'!$C$90),'Data Entry'!$B$90,0)</f>
        <v>0</v>
      </c>
      <c r="CM55" s="549">
        <f>IF(AND(CM$3&lt;'Data Entry'!$B$13,CM$3&lt;'Data Entry'!$C$90),'Data Entry'!$B$90,0)</f>
        <v>0</v>
      </c>
      <c r="CN55" s="549">
        <f>IF(AND(CN$3&lt;'Data Entry'!$B$13,CN$3&lt;'Data Entry'!$C$90),'Data Entry'!$B$90,0)</f>
        <v>0</v>
      </c>
      <c r="CO55" s="549">
        <f>IF(AND(CO$3&lt;'Data Entry'!$B$13,CO$3&lt;'Data Entry'!$C$90),'Data Entry'!$B$90,0)</f>
        <v>0</v>
      </c>
      <c r="CP55" s="549">
        <f>IF(AND(CP$3&lt;'Data Entry'!$B$13,CP$3&lt;'Data Entry'!$C$90),'Data Entry'!$B$90,0)</f>
        <v>0</v>
      </c>
      <c r="CQ55" s="549">
        <f>IF(AND(CQ$3&lt;'Data Entry'!$B$13,CQ$3&lt;'Data Entry'!$C$90),'Data Entry'!$B$90,0)</f>
        <v>0</v>
      </c>
      <c r="CR55" s="549">
        <f>IF(AND(CR$3&lt;'Data Entry'!$B$13,CR$3&lt;'Data Entry'!$C$90),'Data Entry'!$B$90,0)</f>
        <v>0</v>
      </c>
      <c r="CS55" s="549">
        <f>IF(AND(CS$3&lt;'Data Entry'!$B$13,CS$3&lt;'Data Entry'!$C$90),'Data Entry'!$B$90,0)</f>
        <v>0</v>
      </c>
      <c r="CT55" s="549">
        <f>IF(AND(CT$3&lt;'Data Entry'!$B$13,CT$3&lt;'Data Entry'!$C$90),'Data Entry'!$B$90,0)</f>
        <v>0</v>
      </c>
      <c r="CU55" s="549">
        <f>IF(AND(CU$3&lt;'Data Entry'!$B$13,CU$3&lt;'Data Entry'!$C$90),'Data Entry'!$B$90,0)</f>
        <v>0</v>
      </c>
      <c r="CV55" s="549">
        <f>IF(AND(CV$3&lt;'Data Entry'!$B$13,CV$3&lt;'Data Entry'!$C$90),'Data Entry'!$B$90,0)</f>
        <v>0</v>
      </c>
      <c r="CW55" s="549">
        <f>IF(AND(CW$3&lt;'Data Entry'!$B$13,CW$3&lt;'Data Entry'!$C$90),'Data Entry'!$B$90,0)</f>
        <v>0</v>
      </c>
      <c r="CX55" s="549">
        <f>IF(AND(CX$3&lt;'Data Entry'!$B$13,CX$3&lt;'Data Entry'!$C$90),'Data Entry'!$B$90,0)</f>
        <v>0</v>
      </c>
      <c r="CY55" s="562">
        <f>IF(AND(CY$3&lt;'Data Entry'!$B$13,CY$3&lt;'Data Entry'!$C$90),'Data Entry'!$B$90,0)</f>
        <v>0</v>
      </c>
    </row>
    <row r="56" spans="1:103" ht="15" customHeight="1" x14ac:dyDescent="0.3">
      <c r="A56" s="714" t="s">
        <v>57</v>
      </c>
      <c r="B56" s="178" t="str">
        <f>'Data Entry'!A91</f>
        <v>Other regular payments/sponsorships/donations (specify)</v>
      </c>
      <c r="C56" s="685">
        <f t="shared" ref="C56" si="17">SUM(D56:CY56)</f>
        <v>0</v>
      </c>
      <c r="D56" s="549">
        <f>IF(AND(D$3&lt;'Data Entry'!$B$13,D$3&lt;'Data Entry'!$C$91),'Data Entry'!$B$91,0)</f>
        <v>0</v>
      </c>
      <c r="E56" s="549">
        <f>IF(AND(E$3&lt;'Data Entry'!$B$13,E$3&lt;'Data Entry'!$C$91),'Data Entry'!$B$91,0)</f>
        <v>0</v>
      </c>
      <c r="F56" s="549">
        <f>IF(AND(F$3&lt;'Data Entry'!$B$13,F$3&lt;'Data Entry'!$C$91),'Data Entry'!$B$91,0)</f>
        <v>0</v>
      </c>
      <c r="G56" s="549">
        <f>IF(AND(G$3&lt;'Data Entry'!$B$13,G$3&lt;'Data Entry'!$C$91),'Data Entry'!$B$91,0)</f>
        <v>0</v>
      </c>
      <c r="H56" s="549">
        <f>IF(AND(H$3&lt;'Data Entry'!$B$13,H$3&lt;'Data Entry'!$C$91),'Data Entry'!$B$91,0)</f>
        <v>0</v>
      </c>
      <c r="I56" s="549">
        <f>IF(AND(I$3&lt;'Data Entry'!$B$13,I$3&lt;'Data Entry'!$C$91),'Data Entry'!$B$91,0)</f>
        <v>0</v>
      </c>
      <c r="J56" s="549">
        <f>IF(AND(J$3&lt;'Data Entry'!$B$13,J$3&lt;'Data Entry'!$C$91),'Data Entry'!$B$91,0)</f>
        <v>0</v>
      </c>
      <c r="K56" s="549">
        <f>IF(AND(K$3&lt;'Data Entry'!$B$13,K$3&lt;'Data Entry'!$C$91),'Data Entry'!$B$91,0)</f>
        <v>0</v>
      </c>
      <c r="L56" s="549">
        <f>IF(AND(L$3&lt;'Data Entry'!$B$13,L$3&lt;'Data Entry'!$C$91),'Data Entry'!$B$91,0)</f>
        <v>0</v>
      </c>
      <c r="M56" s="549">
        <f>IF(AND(M$3&lt;'Data Entry'!$B$13,M$3&lt;'Data Entry'!$C$91),'Data Entry'!$B$91,0)</f>
        <v>0</v>
      </c>
      <c r="N56" s="549">
        <f>IF(AND(N$3&lt;'Data Entry'!$B$13,N$3&lt;'Data Entry'!$C$91),'Data Entry'!$B$91,0)</f>
        <v>0</v>
      </c>
      <c r="O56" s="549">
        <f>IF(AND(O$3&lt;'Data Entry'!$B$13,O$3&lt;'Data Entry'!$C$91),'Data Entry'!$B$91,0)</f>
        <v>0</v>
      </c>
      <c r="P56" s="549">
        <f>IF(AND(P$3&lt;'Data Entry'!$B$13,P$3&lt;'Data Entry'!$C$91),'Data Entry'!$B$91,0)</f>
        <v>0</v>
      </c>
      <c r="Q56" s="549">
        <f>IF(AND(Q$3&lt;'Data Entry'!$B$13,Q$3&lt;'Data Entry'!$C$91),'Data Entry'!$B$91,0)</f>
        <v>0</v>
      </c>
      <c r="R56" s="549">
        <f>IF(AND(R$3&lt;'Data Entry'!$B$13,R$3&lt;'Data Entry'!$C$91),'Data Entry'!$B$91,0)</f>
        <v>0</v>
      </c>
      <c r="S56" s="549">
        <f>IF(AND(S$3&lt;'Data Entry'!$B$13,S$3&lt;'Data Entry'!$C$91),'Data Entry'!$B$91,0)</f>
        <v>0</v>
      </c>
      <c r="T56" s="549">
        <f>IF(AND(T$3&lt;'Data Entry'!$B$13,T$3&lt;'Data Entry'!$C$91),'Data Entry'!$B$91,0)</f>
        <v>0</v>
      </c>
      <c r="U56" s="549">
        <f>IF(AND(U$3&lt;'Data Entry'!$B$13,U$3&lt;'Data Entry'!$C$91),'Data Entry'!$B$91,0)</f>
        <v>0</v>
      </c>
      <c r="V56" s="549">
        <f>IF(AND(V$3&lt;'Data Entry'!$B$13,V$3&lt;'Data Entry'!$C$91),'Data Entry'!$B$91,0)</f>
        <v>0</v>
      </c>
      <c r="W56" s="549">
        <f>IF(AND(W$3&lt;'Data Entry'!$B$13,W$3&lt;'Data Entry'!$C$91),'Data Entry'!$B$91,0)</f>
        <v>0</v>
      </c>
      <c r="X56" s="549">
        <f>IF(AND(X$3&lt;'Data Entry'!$B$13,X$3&lt;'Data Entry'!$C$91),'Data Entry'!$B$91,0)</f>
        <v>0</v>
      </c>
      <c r="Y56" s="549">
        <f>IF(AND(Y$3&lt;'Data Entry'!$B$13,Y$3&lt;'Data Entry'!$C$91),'Data Entry'!$B$91,0)</f>
        <v>0</v>
      </c>
      <c r="Z56" s="549">
        <f>IF(AND(Z$3&lt;'Data Entry'!$B$13,Z$3&lt;'Data Entry'!$C$91),'Data Entry'!$B$91,0)</f>
        <v>0</v>
      </c>
      <c r="AA56" s="549">
        <f>IF(AND(AA$3&lt;'Data Entry'!$B$13,AA$3&lt;'Data Entry'!$C$91),'Data Entry'!$B$91,0)</f>
        <v>0</v>
      </c>
      <c r="AB56" s="549">
        <f>IF(AND(AB$3&lt;'Data Entry'!$B$13,AB$3&lt;'Data Entry'!$C$91),'Data Entry'!$B$91,0)</f>
        <v>0</v>
      </c>
      <c r="AC56" s="549">
        <f>IF(AND(AC$3&lt;'Data Entry'!$B$13,AC$3&lt;'Data Entry'!$C$91),'Data Entry'!$B$91,0)</f>
        <v>0</v>
      </c>
      <c r="AD56" s="549">
        <f>IF(AND(AD$3&lt;'Data Entry'!$B$13,AD$3&lt;'Data Entry'!$C$91),'Data Entry'!$B$91,0)</f>
        <v>0</v>
      </c>
      <c r="AE56" s="549">
        <f>IF(AND(AE$3&lt;'Data Entry'!$B$13,AE$3&lt;'Data Entry'!$C$91),'Data Entry'!$B$91,0)</f>
        <v>0</v>
      </c>
      <c r="AF56" s="549">
        <f>IF(AND(AF$3&lt;'Data Entry'!$B$13,AF$3&lt;'Data Entry'!$C$91),'Data Entry'!$B$91,0)</f>
        <v>0</v>
      </c>
      <c r="AG56" s="549">
        <f>IF(AND(AG$3&lt;'Data Entry'!$B$13,AG$3&lt;'Data Entry'!$C$91),'Data Entry'!$B$91,0)</f>
        <v>0</v>
      </c>
      <c r="AH56" s="549">
        <f>IF(AND(AH$3&lt;'Data Entry'!$B$13,AH$3&lt;'Data Entry'!$C$91),'Data Entry'!$B$91,0)</f>
        <v>0</v>
      </c>
      <c r="AI56" s="549">
        <f>IF(AND(AI$3&lt;'Data Entry'!$B$13,AI$3&lt;'Data Entry'!$C$91),'Data Entry'!$B$91,0)</f>
        <v>0</v>
      </c>
      <c r="AJ56" s="549">
        <f>IF(AND(AJ$3&lt;'Data Entry'!$B$13,AJ$3&lt;'Data Entry'!$C$91),'Data Entry'!$B$91,0)</f>
        <v>0</v>
      </c>
      <c r="AK56" s="549">
        <f>IF(AND(AK$3&lt;'Data Entry'!$B$13,AK$3&lt;'Data Entry'!$C$91),'Data Entry'!$B$91,0)</f>
        <v>0</v>
      </c>
      <c r="AL56" s="549">
        <f>IF(AND(AL$3&lt;'Data Entry'!$B$13,AL$3&lt;'Data Entry'!$C$91),'Data Entry'!$B$91,0)</f>
        <v>0</v>
      </c>
      <c r="AM56" s="549">
        <f>IF(AND(AM$3&lt;'Data Entry'!$B$13,AM$3&lt;'Data Entry'!$C$91),'Data Entry'!$B$91,0)</f>
        <v>0</v>
      </c>
      <c r="AN56" s="549">
        <f>IF(AND(AN$3&lt;'Data Entry'!$B$13,AN$3&lt;'Data Entry'!$C$91),'Data Entry'!$B$91,0)</f>
        <v>0</v>
      </c>
      <c r="AO56" s="553">
        <f>IF(AND(AO$3&lt;'Data Entry'!$B$13,AO$3&lt;'Data Entry'!$C$91),'Data Entry'!$B$91,0)</f>
        <v>0</v>
      </c>
      <c r="AP56" s="549">
        <f>IF(AND(AP$3&lt;'Data Entry'!$B$13,AP$3&lt;'Data Entry'!$C$91),'Data Entry'!$B$91,0)</f>
        <v>0</v>
      </c>
      <c r="AQ56" s="549">
        <f>IF(AND(AQ$3&lt;'Data Entry'!$B$13,AQ$3&lt;'Data Entry'!$C$91),'Data Entry'!$B$91,0)</f>
        <v>0</v>
      </c>
      <c r="AR56" s="549">
        <f>IF(AND(AR$3&lt;'Data Entry'!$B$13,AR$3&lt;'Data Entry'!$C$91),'Data Entry'!$B$91,0)</f>
        <v>0</v>
      </c>
      <c r="AS56" s="549">
        <f>IF(AND(AS$3&lt;'Data Entry'!$B$13,AS$3&lt;'Data Entry'!$C$91),'Data Entry'!$B$91,0)</f>
        <v>0</v>
      </c>
      <c r="AT56" s="549">
        <f>IF(AND(AT$3&lt;'Data Entry'!$B$13,AT$3&lt;'Data Entry'!$C$91),'Data Entry'!$B$91,0)</f>
        <v>0</v>
      </c>
      <c r="AU56" s="549">
        <f>IF(AND(AU$3&lt;'Data Entry'!$B$13,AU$3&lt;'Data Entry'!$C$91),'Data Entry'!$B$91,0)</f>
        <v>0</v>
      </c>
      <c r="AV56" s="549">
        <f>IF(AND(AV$3&lt;'Data Entry'!$B$13,AV$3&lt;'Data Entry'!$C$91),'Data Entry'!$B$91,0)</f>
        <v>0</v>
      </c>
      <c r="AW56" s="549">
        <f>IF(AND(AW$3&lt;'Data Entry'!$B$13,AW$3&lt;'Data Entry'!$C$91),'Data Entry'!$B$91,0)</f>
        <v>0</v>
      </c>
      <c r="AX56" s="549">
        <f>IF(AND(AX$3&lt;'Data Entry'!$B$13,AX$3&lt;'Data Entry'!$C$91),'Data Entry'!$B$91,0)</f>
        <v>0</v>
      </c>
      <c r="AY56" s="549">
        <f>IF(AND(AY$3&lt;'Data Entry'!$B$13,AY$3&lt;'Data Entry'!$C$91),'Data Entry'!$B$91,0)</f>
        <v>0</v>
      </c>
      <c r="AZ56" s="549">
        <f>IF(AND(AZ$3&lt;'Data Entry'!$B$13,AZ$3&lt;'Data Entry'!$C$91),'Data Entry'!$B$91,0)</f>
        <v>0</v>
      </c>
      <c r="BA56" s="549">
        <f>IF(AND(BA$3&lt;'Data Entry'!$B$13,BA$3&lt;'Data Entry'!$C$91),'Data Entry'!$B$91,0)</f>
        <v>0</v>
      </c>
      <c r="BB56" s="549">
        <f>IF(AND(BB$3&lt;'Data Entry'!$B$13,BB$3&lt;'Data Entry'!$C$91),'Data Entry'!$B$91,0)</f>
        <v>0</v>
      </c>
      <c r="BC56" s="549">
        <f>IF(AND(BC$3&lt;'Data Entry'!$B$13,BC$3&lt;'Data Entry'!$C$91),'Data Entry'!$B$91,0)</f>
        <v>0</v>
      </c>
      <c r="BD56" s="549">
        <f>IF(AND(BD$3&lt;'Data Entry'!$B$13,BD$3&lt;'Data Entry'!$C$91),'Data Entry'!$B$91,0)</f>
        <v>0</v>
      </c>
      <c r="BE56" s="549">
        <f>IF(AND(BE$3&lt;'Data Entry'!$B$13,BE$3&lt;'Data Entry'!$C$91),'Data Entry'!$B$91,0)</f>
        <v>0</v>
      </c>
      <c r="BF56" s="549">
        <f>IF(AND(BF$3&lt;'Data Entry'!$B$13,BF$3&lt;'Data Entry'!$C$91),'Data Entry'!$B$91,0)</f>
        <v>0</v>
      </c>
      <c r="BG56" s="549">
        <f>IF(AND(BG$3&lt;'Data Entry'!$B$13,BG$3&lt;'Data Entry'!$C$91),'Data Entry'!$B$91,0)</f>
        <v>0</v>
      </c>
      <c r="BH56" s="549">
        <f>IF(AND(BH$3&lt;'Data Entry'!$B$13,BH$3&lt;'Data Entry'!$C$91),'Data Entry'!$B$91,0)</f>
        <v>0</v>
      </c>
      <c r="BI56" s="549">
        <f>IF(AND(BI$3&lt;'Data Entry'!$B$13,BI$3&lt;'Data Entry'!$C$91),'Data Entry'!$B$91,0)</f>
        <v>0</v>
      </c>
      <c r="BJ56" s="549">
        <f>IF(AND(BJ$3&lt;'Data Entry'!$B$13,BJ$3&lt;'Data Entry'!$C$91),'Data Entry'!$B$91,0)</f>
        <v>0</v>
      </c>
      <c r="BK56" s="553">
        <f>IF(AND(BK$3&lt;'Data Entry'!$B$13,BK$3&lt;'Data Entry'!$C$91),'Data Entry'!$B$91,0)</f>
        <v>0</v>
      </c>
      <c r="BL56" s="549">
        <f>IF(AND(BL$3&lt;'Data Entry'!$B$13,BL$3&lt;'Data Entry'!$C$91),'Data Entry'!$B$91,0)</f>
        <v>0</v>
      </c>
      <c r="BM56" s="549">
        <f>IF(AND(BM$3&lt;'Data Entry'!$B$13,BM$3&lt;'Data Entry'!$C$91),'Data Entry'!$B$91,0)</f>
        <v>0</v>
      </c>
      <c r="BN56" s="549">
        <f>IF(AND(BN$3&lt;'Data Entry'!$B$13,BN$3&lt;'Data Entry'!$C$91),'Data Entry'!$B$91,0)</f>
        <v>0</v>
      </c>
      <c r="BO56" s="549">
        <f>IF(AND(BO$3&lt;'Data Entry'!$B$13,BO$3&lt;'Data Entry'!$C$91),'Data Entry'!$B$91,0)</f>
        <v>0</v>
      </c>
      <c r="BP56" s="549">
        <f>IF(AND(BP$3&lt;'Data Entry'!$B$13,BP$3&lt;'Data Entry'!$C$91),'Data Entry'!$B$91,0)</f>
        <v>0</v>
      </c>
      <c r="BQ56" s="549">
        <f>IF(AND(BQ$3&lt;'Data Entry'!$B$13,BQ$3&lt;'Data Entry'!$C$91),'Data Entry'!$B$91,0)</f>
        <v>0</v>
      </c>
      <c r="BR56" s="549">
        <f>IF(AND(BR$3&lt;'Data Entry'!$B$13,BR$3&lt;'Data Entry'!$C$91),'Data Entry'!$B$91,0)</f>
        <v>0</v>
      </c>
      <c r="BS56" s="549">
        <f>IF(AND(BS$3&lt;'Data Entry'!$B$13,BS$3&lt;'Data Entry'!$C$91),'Data Entry'!$B$91,0)</f>
        <v>0</v>
      </c>
      <c r="BT56" s="549">
        <f>IF(AND(BT$3&lt;'Data Entry'!$B$13,BT$3&lt;'Data Entry'!$C$91),'Data Entry'!$B$91,0)</f>
        <v>0</v>
      </c>
      <c r="BU56" s="549">
        <f>IF(AND(BU$3&lt;'Data Entry'!$B$13,BU$3&lt;'Data Entry'!$C$91),'Data Entry'!$B$91,0)</f>
        <v>0</v>
      </c>
      <c r="BV56" s="549">
        <f>IF(AND(BV$3&lt;'Data Entry'!$B$13,BV$3&lt;'Data Entry'!$C$91),'Data Entry'!$B$91,0)</f>
        <v>0</v>
      </c>
      <c r="BW56" s="549">
        <f>IF(AND(BW$3&lt;'Data Entry'!$B$13,BW$3&lt;'Data Entry'!$C$91),'Data Entry'!$B$91,0)</f>
        <v>0</v>
      </c>
      <c r="BX56" s="549">
        <f>IF(AND(BX$3&lt;'Data Entry'!$B$13,BX$3&lt;'Data Entry'!$C$91),'Data Entry'!$B$91,0)</f>
        <v>0</v>
      </c>
      <c r="BY56" s="549">
        <f>IF(AND(BY$3&lt;'Data Entry'!$B$13,BY$3&lt;'Data Entry'!$C$91),'Data Entry'!$B$91,0)</f>
        <v>0</v>
      </c>
      <c r="BZ56" s="549">
        <f>IF(AND(BZ$3&lt;'Data Entry'!$B$13,BZ$3&lt;'Data Entry'!$C$91),'Data Entry'!$B$91,0)</f>
        <v>0</v>
      </c>
      <c r="CA56" s="553">
        <f>IF(AND(CA$3&lt;'Data Entry'!$B$13,CA$3&lt;'Data Entry'!$C$91),'Data Entry'!$B$91,0)</f>
        <v>0</v>
      </c>
      <c r="CB56" s="549">
        <f>IF(AND(CB$3&lt;'Data Entry'!$B$13,CB$3&lt;'Data Entry'!$C$91),'Data Entry'!$B$91,0)</f>
        <v>0</v>
      </c>
      <c r="CC56" s="549">
        <f>IF(AND(CC$3&lt;'Data Entry'!$B$13,CC$3&lt;'Data Entry'!$C$91),'Data Entry'!$B$91,0)</f>
        <v>0</v>
      </c>
      <c r="CD56" s="549">
        <f>IF(AND(CD$3&lt;'Data Entry'!$B$13,CD$3&lt;'Data Entry'!$C$91),'Data Entry'!$B$91,0)</f>
        <v>0</v>
      </c>
      <c r="CE56" s="549">
        <f>IF(AND(CE$3&lt;'Data Entry'!$B$13,CE$3&lt;'Data Entry'!$C$91),'Data Entry'!$B$91,0)</f>
        <v>0</v>
      </c>
      <c r="CF56" s="549">
        <f>IF(AND(CF$3&lt;'Data Entry'!$B$13,CF$3&lt;'Data Entry'!$C$91),'Data Entry'!$B$91,0)</f>
        <v>0</v>
      </c>
      <c r="CG56" s="549">
        <f>IF(AND(CG$3&lt;'Data Entry'!$B$13,CG$3&lt;'Data Entry'!$C$91),'Data Entry'!$B$91,0)</f>
        <v>0</v>
      </c>
      <c r="CH56" s="549">
        <f>IF(AND(CH$3&lt;'Data Entry'!$B$13,CH$3&lt;'Data Entry'!$C$91),'Data Entry'!$B$91,0)</f>
        <v>0</v>
      </c>
      <c r="CI56" s="549">
        <f>IF(AND(CI$3&lt;'Data Entry'!$B$13,CI$3&lt;'Data Entry'!$C$91),'Data Entry'!$B$91,0)</f>
        <v>0</v>
      </c>
      <c r="CJ56" s="549">
        <f>IF(AND(CJ$3&lt;'Data Entry'!$B$13,CJ$3&lt;'Data Entry'!$C$91),'Data Entry'!$B$91,0)</f>
        <v>0</v>
      </c>
      <c r="CK56" s="549">
        <f>IF(AND(CK$3&lt;'Data Entry'!$B$13,CK$3&lt;'Data Entry'!$C$91),'Data Entry'!$B$91,0)</f>
        <v>0</v>
      </c>
      <c r="CL56" s="549">
        <f>IF(AND(CL$3&lt;'Data Entry'!$B$13,CL$3&lt;'Data Entry'!$C$91),'Data Entry'!$B$91,0)</f>
        <v>0</v>
      </c>
      <c r="CM56" s="549">
        <f>IF(AND(CM$3&lt;'Data Entry'!$B$13,CM$3&lt;'Data Entry'!$C$91),'Data Entry'!$B$91,0)</f>
        <v>0</v>
      </c>
      <c r="CN56" s="549">
        <f>IF(AND(CN$3&lt;'Data Entry'!$B$13,CN$3&lt;'Data Entry'!$C$91),'Data Entry'!$B$91,0)</f>
        <v>0</v>
      </c>
      <c r="CO56" s="549">
        <f>IF(AND(CO$3&lt;'Data Entry'!$B$13,CO$3&lt;'Data Entry'!$C$91),'Data Entry'!$B$91,0)</f>
        <v>0</v>
      </c>
      <c r="CP56" s="549">
        <f>IF(AND(CP$3&lt;'Data Entry'!$B$13,CP$3&lt;'Data Entry'!$C$91),'Data Entry'!$B$91,0)</f>
        <v>0</v>
      </c>
      <c r="CQ56" s="549">
        <f>IF(AND(CQ$3&lt;'Data Entry'!$B$13,CQ$3&lt;'Data Entry'!$C$91),'Data Entry'!$B$91,0)</f>
        <v>0</v>
      </c>
      <c r="CR56" s="549">
        <f>IF(AND(CR$3&lt;'Data Entry'!$B$13,CR$3&lt;'Data Entry'!$C$91),'Data Entry'!$B$91,0)</f>
        <v>0</v>
      </c>
      <c r="CS56" s="549">
        <f>IF(AND(CS$3&lt;'Data Entry'!$B$13,CS$3&lt;'Data Entry'!$C$91),'Data Entry'!$B$91,0)</f>
        <v>0</v>
      </c>
      <c r="CT56" s="549">
        <f>IF(AND(CT$3&lt;'Data Entry'!$B$13,CT$3&lt;'Data Entry'!$C$91),'Data Entry'!$B$91,0)</f>
        <v>0</v>
      </c>
      <c r="CU56" s="549">
        <f>IF(AND(CU$3&lt;'Data Entry'!$B$13,CU$3&lt;'Data Entry'!$C$91),'Data Entry'!$B$91,0)</f>
        <v>0</v>
      </c>
      <c r="CV56" s="549">
        <f>IF(AND(CV$3&lt;'Data Entry'!$B$13,CV$3&lt;'Data Entry'!$C$91),'Data Entry'!$B$91,0)</f>
        <v>0</v>
      </c>
      <c r="CW56" s="549">
        <f>IF(AND(CW$3&lt;'Data Entry'!$B$13,CW$3&lt;'Data Entry'!$C$91),'Data Entry'!$B$91,0)</f>
        <v>0</v>
      </c>
      <c r="CX56" s="549">
        <f>IF(AND(CX$3&lt;'Data Entry'!$B$13,CX$3&lt;'Data Entry'!$C$91),'Data Entry'!$B$91,0)</f>
        <v>0</v>
      </c>
      <c r="CY56" s="562">
        <f>IF(AND(CY$3&lt;'Data Entry'!$B$13,CY$3&lt;'Data Entry'!$C$91),'Data Entry'!$B$91,0)</f>
        <v>0</v>
      </c>
    </row>
    <row r="57" spans="1:103" ht="15" customHeight="1" x14ac:dyDescent="0.3">
      <c r="A57" s="714" t="s">
        <v>57</v>
      </c>
      <c r="B57" s="178" t="str">
        <f>'Data Entry'!A92</f>
        <v>Other regular payments/sponsorships/donations (specify)</v>
      </c>
      <c r="C57" s="685">
        <f t="shared" ref="C57" si="18">SUM(D57:CY57)</f>
        <v>0</v>
      </c>
      <c r="D57" s="549">
        <f>IF(AND(D$3&lt;'Data Entry'!$B$13,D$3&lt;'Data Entry'!$C$92),'Data Entry'!$B$92,0)</f>
        <v>0</v>
      </c>
      <c r="E57" s="549">
        <f>IF(AND(E$3&lt;'Data Entry'!$B$13,E$3&lt;'Data Entry'!$C$92),'Data Entry'!$B$92,0)</f>
        <v>0</v>
      </c>
      <c r="F57" s="549">
        <f>IF(AND(F$3&lt;'Data Entry'!$B$13,F$3&lt;'Data Entry'!$C$92),'Data Entry'!$B$92,0)</f>
        <v>0</v>
      </c>
      <c r="G57" s="549">
        <f>IF(AND(G$3&lt;'Data Entry'!$B$13,G$3&lt;'Data Entry'!$C$92),'Data Entry'!$B$92,0)</f>
        <v>0</v>
      </c>
      <c r="H57" s="549">
        <f>IF(AND(H$3&lt;'Data Entry'!$B$13,H$3&lt;'Data Entry'!$C$92),'Data Entry'!$B$92,0)</f>
        <v>0</v>
      </c>
      <c r="I57" s="549">
        <f>IF(AND(I$3&lt;'Data Entry'!$B$13,I$3&lt;'Data Entry'!$C$92),'Data Entry'!$B$92,0)</f>
        <v>0</v>
      </c>
      <c r="J57" s="549">
        <f>IF(AND(J$3&lt;'Data Entry'!$B$13,J$3&lt;'Data Entry'!$C$92),'Data Entry'!$B$92,0)</f>
        <v>0</v>
      </c>
      <c r="K57" s="549">
        <f>IF(AND(K$3&lt;'Data Entry'!$B$13,K$3&lt;'Data Entry'!$C$92),'Data Entry'!$B$92,0)</f>
        <v>0</v>
      </c>
      <c r="L57" s="549">
        <f>IF(AND(L$3&lt;'Data Entry'!$B$13,L$3&lt;'Data Entry'!$C$92),'Data Entry'!$B$92,0)</f>
        <v>0</v>
      </c>
      <c r="M57" s="549">
        <f>IF(AND(M$3&lt;'Data Entry'!$B$13,M$3&lt;'Data Entry'!$C$92),'Data Entry'!$B$92,0)</f>
        <v>0</v>
      </c>
      <c r="N57" s="549">
        <f>IF(AND(N$3&lt;'Data Entry'!$B$13,N$3&lt;'Data Entry'!$C$92),'Data Entry'!$B$92,0)</f>
        <v>0</v>
      </c>
      <c r="O57" s="549">
        <f>IF(AND(O$3&lt;'Data Entry'!$B$13,O$3&lt;'Data Entry'!$C$92),'Data Entry'!$B$92,0)</f>
        <v>0</v>
      </c>
      <c r="P57" s="549">
        <f>IF(AND(P$3&lt;'Data Entry'!$B$13,P$3&lt;'Data Entry'!$C$92),'Data Entry'!$B$92,0)</f>
        <v>0</v>
      </c>
      <c r="Q57" s="549">
        <f>IF(AND(Q$3&lt;'Data Entry'!$B$13,Q$3&lt;'Data Entry'!$C$92),'Data Entry'!$B$92,0)</f>
        <v>0</v>
      </c>
      <c r="R57" s="549">
        <f>IF(AND(R$3&lt;'Data Entry'!$B$13,R$3&lt;'Data Entry'!$C$92),'Data Entry'!$B$92,0)</f>
        <v>0</v>
      </c>
      <c r="S57" s="549">
        <f>IF(AND(S$3&lt;'Data Entry'!$B$13,S$3&lt;'Data Entry'!$C$92),'Data Entry'!$B$92,0)</f>
        <v>0</v>
      </c>
      <c r="T57" s="549">
        <f>IF(AND(T$3&lt;'Data Entry'!$B$13,T$3&lt;'Data Entry'!$C$92),'Data Entry'!$B$92,0)</f>
        <v>0</v>
      </c>
      <c r="U57" s="549">
        <f>IF(AND(U$3&lt;'Data Entry'!$B$13,U$3&lt;'Data Entry'!$C$92),'Data Entry'!$B$92,0)</f>
        <v>0</v>
      </c>
      <c r="V57" s="549">
        <f>IF(AND(V$3&lt;'Data Entry'!$B$13,V$3&lt;'Data Entry'!$C$92),'Data Entry'!$B$92,0)</f>
        <v>0</v>
      </c>
      <c r="W57" s="549">
        <f>IF(AND(W$3&lt;'Data Entry'!$B$13,W$3&lt;'Data Entry'!$C$92),'Data Entry'!$B$92,0)</f>
        <v>0</v>
      </c>
      <c r="X57" s="549">
        <f>IF(AND(X$3&lt;'Data Entry'!$B$13,X$3&lt;'Data Entry'!$C$92),'Data Entry'!$B$92,0)</f>
        <v>0</v>
      </c>
      <c r="Y57" s="549">
        <f>IF(AND(Y$3&lt;'Data Entry'!$B$13,Y$3&lt;'Data Entry'!$C$92),'Data Entry'!$B$92,0)</f>
        <v>0</v>
      </c>
      <c r="Z57" s="549">
        <f>IF(AND(Z$3&lt;'Data Entry'!$B$13,Z$3&lt;'Data Entry'!$C$92),'Data Entry'!$B$92,0)</f>
        <v>0</v>
      </c>
      <c r="AA57" s="549">
        <f>IF(AND(AA$3&lt;'Data Entry'!$B$13,AA$3&lt;'Data Entry'!$C$92),'Data Entry'!$B$92,0)</f>
        <v>0</v>
      </c>
      <c r="AB57" s="549">
        <f>IF(AND(AB$3&lt;'Data Entry'!$B$13,AB$3&lt;'Data Entry'!$C$92),'Data Entry'!$B$92,0)</f>
        <v>0</v>
      </c>
      <c r="AC57" s="549">
        <f>IF(AND(AC$3&lt;'Data Entry'!$B$13,AC$3&lt;'Data Entry'!$C$92),'Data Entry'!$B$92,0)</f>
        <v>0</v>
      </c>
      <c r="AD57" s="549">
        <f>IF(AND(AD$3&lt;'Data Entry'!$B$13,AD$3&lt;'Data Entry'!$C$92),'Data Entry'!$B$92,0)</f>
        <v>0</v>
      </c>
      <c r="AE57" s="549">
        <f>IF(AND(AE$3&lt;'Data Entry'!$B$13,AE$3&lt;'Data Entry'!$C$92),'Data Entry'!$B$92,0)</f>
        <v>0</v>
      </c>
      <c r="AF57" s="549">
        <f>IF(AND(AF$3&lt;'Data Entry'!$B$13,AF$3&lt;'Data Entry'!$C$92),'Data Entry'!$B$92,0)</f>
        <v>0</v>
      </c>
      <c r="AG57" s="549">
        <f>IF(AND(AG$3&lt;'Data Entry'!$B$13,AG$3&lt;'Data Entry'!$C$92),'Data Entry'!$B$92,0)</f>
        <v>0</v>
      </c>
      <c r="AH57" s="549">
        <f>IF(AND(AH$3&lt;'Data Entry'!$B$13,AH$3&lt;'Data Entry'!$C$92),'Data Entry'!$B$92,0)</f>
        <v>0</v>
      </c>
      <c r="AI57" s="549">
        <f>IF(AND(AI$3&lt;'Data Entry'!$B$13,AI$3&lt;'Data Entry'!$C$92),'Data Entry'!$B$92,0)</f>
        <v>0</v>
      </c>
      <c r="AJ57" s="549">
        <f>IF(AND(AJ$3&lt;'Data Entry'!$B$13,AJ$3&lt;'Data Entry'!$C$92),'Data Entry'!$B$92,0)</f>
        <v>0</v>
      </c>
      <c r="AK57" s="549">
        <f>IF(AND(AK$3&lt;'Data Entry'!$B$13,AK$3&lt;'Data Entry'!$C$92),'Data Entry'!$B$92,0)</f>
        <v>0</v>
      </c>
      <c r="AL57" s="549">
        <f>IF(AND(AL$3&lt;'Data Entry'!$B$13,AL$3&lt;'Data Entry'!$C$92),'Data Entry'!$B$92,0)</f>
        <v>0</v>
      </c>
      <c r="AM57" s="549">
        <f>IF(AND(AM$3&lt;'Data Entry'!$B$13,AM$3&lt;'Data Entry'!$C$92),'Data Entry'!$B$92,0)</f>
        <v>0</v>
      </c>
      <c r="AN57" s="549">
        <f>IF(AND(AN$3&lt;'Data Entry'!$B$13,AN$3&lt;'Data Entry'!$C$92),'Data Entry'!$B$92,0)</f>
        <v>0</v>
      </c>
      <c r="AO57" s="553">
        <f>IF(AND(AO$3&lt;'Data Entry'!$B$13,AO$3&lt;'Data Entry'!$C$92),'Data Entry'!$B$92,0)</f>
        <v>0</v>
      </c>
      <c r="AP57" s="549">
        <f>IF(AND(AP$3&lt;'Data Entry'!$B$13,AP$3&lt;'Data Entry'!$C$92),'Data Entry'!$B$92,0)</f>
        <v>0</v>
      </c>
      <c r="AQ57" s="549">
        <f>IF(AND(AQ$3&lt;'Data Entry'!$B$13,AQ$3&lt;'Data Entry'!$C$92),'Data Entry'!$B$92,0)</f>
        <v>0</v>
      </c>
      <c r="AR57" s="549">
        <f>IF(AND(AR$3&lt;'Data Entry'!$B$13,AR$3&lt;'Data Entry'!$C$92),'Data Entry'!$B$92,0)</f>
        <v>0</v>
      </c>
      <c r="AS57" s="549">
        <f>IF(AND(AS$3&lt;'Data Entry'!$B$13,AS$3&lt;'Data Entry'!$C$92),'Data Entry'!$B$92,0)</f>
        <v>0</v>
      </c>
      <c r="AT57" s="549">
        <f>IF(AND(AT$3&lt;'Data Entry'!$B$13,AT$3&lt;'Data Entry'!$C$92),'Data Entry'!$B$92,0)</f>
        <v>0</v>
      </c>
      <c r="AU57" s="549">
        <f>IF(AND(AU$3&lt;'Data Entry'!$B$13,AU$3&lt;'Data Entry'!$C$92),'Data Entry'!$B$92,0)</f>
        <v>0</v>
      </c>
      <c r="AV57" s="549">
        <f>IF(AND(AV$3&lt;'Data Entry'!$B$13,AV$3&lt;'Data Entry'!$C$92),'Data Entry'!$B$92,0)</f>
        <v>0</v>
      </c>
      <c r="AW57" s="549">
        <f>IF(AND(AW$3&lt;'Data Entry'!$B$13,AW$3&lt;'Data Entry'!$C$92),'Data Entry'!$B$92,0)</f>
        <v>0</v>
      </c>
      <c r="AX57" s="549">
        <f>IF(AND(AX$3&lt;'Data Entry'!$B$13,AX$3&lt;'Data Entry'!$C$92),'Data Entry'!$B$92,0)</f>
        <v>0</v>
      </c>
      <c r="AY57" s="549">
        <f>IF(AND(AY$3&lt;'Data Entry'!$B$13,AY$3&lt;'Data Entry'!$C$92),'Data Entry'!$B$92,0)</f>
        <v>0</v>
      </c>
      <c r="AZ57" s="549">
        <f>IF(AND(AZ$3&lt;'Data Entry'!$B$13,AZ$3&lt;'Data Entry'!$C$92),'Data Entry'!$B$92,0)</f>
        <v>0</v>
      </c>
      <c r="BA57" s="549">
        <f>IF(AND(BA$3&lt;'Data Entry'!$B$13,BA$3&lt;'Data Entry'!$C$92),'Data Entry'!$B$92,0)</f>
        <v>0</v>
      </c>
      <c r="BB57" s="549">
        <f>IF(AND(BB$3&lt;'Data Entry'!$B$13,BB$3&lt;'Data Entry'!$C$92),'Data Entry'!$B$92,0)</f>
        <v>0</v>
      </c>
      <c r="BC57" s="549">
        <f>IF(AND(BC$3&lt;'Data Entry'!$B$13,BC$3&lt;'Data Entry'!$C$92),'Data Entry'!$B$92,0)</f>
        <v>0</v>
      </c>
      <c r="BD57" s="549">
        <f>IF(AND(BD$3&lt;'Data Entry'!$B$13,BD$3&lt;'Data Entry'!$C$92),'Data Entry'!$B$92,0)</f>
        <v>0</v>
      </c>
      <c r="BE57" s="549">
        <f>IF(AND(BE$3&lt;'Data Entry'!$B$13,BE$3&lt;'Data Entry'!$C$92),'Data Entry'!$B$92,0)</f>
        <v>0</v>
      </c>
      <c r="BF57" s="549">
        <f>IF(AND(BF$3&lt;'Data Entry'!$B$13,BF$3&lt;'Data Entry'!$C$92),'Data Entry'!$B$92,0)</f>
        <v>0</v>
      </c>
      <c r="BG57" s="549">
        <f>IF(AND(BG$3&lt;'Data Entry'!$B$13,BG$3&lt;'Data Entry'!$C$92),'Data Entry'!$B$92,0)</f>
        <v>0</v>
      </c>
      <c r="BH57" s="549">
        <f>IF(AND(BH$3&lt;'Data Entry'!$B$13,BH$3&lt;'Data Entry'!$C$92),'Data Entry'!$B$92,0)</f>
        <v>0</v>
      </c>
      <c r="BI57" s="549">
        <f>IF(AND(BI$3&lt;'Data Entry'!$B$13,BI$3&lt;'Data Entry'!$C$92),'Data Entry'!$B$92,0)</f>
        <v>0</v>
      </c>
      <c r="BJ57" s="549">
        <f>IF(AND(BJ$3&lt;'Data Entry'!$B$13,BJ$3&lt;'Data Entry'!$C$92),'Data Entry'!$B$92,0)</f>
        <v>0</v>
      </c>
      <c r="BK57" s="553">
        <f>IF(AND(BK$3&lt;'Data Entry'!$B$13,BK$3&lt;'Data Entry'!$C$92),'Data Entry'!$B$92,0)</f>
        <v>0</v>
      </c>
      <c r="BL57" s="549">
        <f>IF(AND(BL$3&lt;'Data Entry'!$B$13,BL$3&lt;'Data Entry'!$C$92),'Data Entry'!$B$92,0)</f>
        <v>0</v>
      </c>
      <c r="BM57" s="549">
        <f>IF(AND(BM$3&lt;'Data Entry'!$B$13,BM$3&lt;'Data Entry'!$C$92),'Data Entry'!$B$92,0)</f>
        <v>0</v>
      </c>
      <c r="BN57" s="549">
        <f>IF(AND(BN$3&lt;'Data Entry'!$B$13,BN$3&lt;'Data Entry'!$C$92),'Data Entry'!$B$92,0)</f>
        <v>0</v>
      </c>
      <c r="BO57" s="549">
        <f>IF(AND(BO$3&lt;'Data Entry'!$B$13,BO$3&lt;'Data Entry'!$C$92),'Data Entry'!$B$92,0)</f>
        <v>0</v>
      </c>
      <c r="BP57" s="549">
        <f>IF(AND(BP$3&lt;'Data Entry'!$B$13,BP$3&lt;'Data Entry'!$C$92),'Data Entry'!$B$92,0)</f>
        <v>0</v>
      </c>
      <c r="BQ57" s="549">
        <f>IF(AND(BQ$3&lt;'Data Entry'!$B$13,BQ$3&lt;'Data Entry'!$C$92),'Data Entry'!$B$92,0)</f>
        <v>0</v>
      </c>
      <c r="BR57" s="549">
        <f>IF(AND(BR$3&lt;'Data Entry'!$B$13,BR$3&lt;'Data Entry'!$C$92),'Data Entry'!$B$92,0)</f>
        <v>0</v>
      </c>
      <c r="BS57" s="549">
        <f>IF(AND(BS$3&lt;'Data Entry'!$B$13,BS$3&lt;'Data Entry'!$C$92),'Data Entry'!$B$92,0)</f>
        <v>0</v>
      </c>
      <c r="BT57" s="549">
        <f>IF(AND(BT$3&lt;'Data Entry'!$B$13,BT$3&lt;'Data Entry'!$C$92),'Data Entry'!$B$92,0)</f>
        <v>0</v>
      </c>
      <c r="BU57" s="549">
        <f>IF(AND(BU$3&lt;'Data Entry'!$B$13,BU$3&lt;'Data Entry'!$C$92),'Data Entry'!$B$92,0)</f>
        <v>0</v>
      </c>
      <c r="BV57" s="549">
        <f>IF(AND(BV$3&lt;'Data Entry'!$B$13,BV$3&lt;'Data Entry'!$C$92),'Data Entry'!$B$92,0)</f>
        <v>0</v>
      </c>
      <c r="BW57" s="549">
        <f>IF(AND(BW$3&lt;'Data Entry'!$B$13,BW$3&lt;'Data Entry'!$C$92),'Data Entry'!$B$92,0)</f>
        <v>0</v>
      </c>
      <c r="BX57" s="549">
        <f>IF(AND(BX$3&lt;'Data Entry'!$B$13,BX$3&lt;'Data Entry'!$C$92),'Data Entry'!$B$92,0)</f>
        <v>0</v>
      </c>
      <c r="BY57" s="549">
        <f>IF(AND(BY$3&lt;'Data Entry'!$B$13,BY$3&lt;'Data Entry'!$C$92),'Data Entry'!$B$92,0)</f>
        <v>0</v>
      </c>
      <c r="BZ57" s="549">
        <f>IF(AND(BZ$3&lt;'Data Entry'!$B$13,BZ$3&lt;'Data Entry'!$C$92),'Data Entry'!$B$92,0)</f>
        <v>0</v>
      </c>
      <c r="CA57" s="553">
        <f>IF(AND(CA$3&lt;'Data Entry'!$B$13,CA$3&lt;'Data Entry'!$C$92),'Data Entry'!$B$92,0)</f>
        <v>0</v>
      </c>
      <c r="CB57" s="549">
        <f>IF(AND(CB$3&lt;'Data Entry'!$B$13,CB$3&lt;'Data Entry'!$C$92),'Data Entry'!$B$92,0)</f>
        <v>0</v>
      </c>
      <c r="CC57" s="549">
        <f>IF(AND(CC$3&lt;'Data Entry'!$B$13,CC$3&lt;'Data Entry'!$C$92),'Data Entry'!$B$92,0)</f>
        <v>0</v>
      </c>
      <c r="CD57" s="549">
        <f>IF(AND(CD$3&lt;'Data Entry'!$B$13,CD$3&lt;'Data Entry'!$C$92),'Data Entry'!$B$92,0)</f>
        <v>0</v>
      </c>
      <c r="CE57" s="549">
        <f>IF(AND(CE$3&lt;'Data Entry'!$B$13,CE$3&lt;'Data Entry'!$C$92),'Data Entry'!$B$92,0)</f>
        <v>0</v>
      </c>
      <c r="CF57" s="549">
        <f>IF(AND(CF$3&lt;'Data Entry'!$B$13,CF$3&lt;'Data Entry'!$C$92),'Data Entry'!$B$92,0)</f>
        <v>0</v>
      </c>
      <c r="CG57" s="549">
        <f>IF(AND(CG$3&lt;'Data Entry'!$B$13,CG$3&lt;'Data Entry'!$C$92),'Data Entry'!$B$92,0)</f>
        <v>0</v>
      </c>
      <c r="CH57" s="549">
        <f>IF(AND(CH$3&lt;'Data Entry'!$B$13,CH$3&lt;'Data Entry'!$C$92),'Data Entry'!$B$92,0)</f>
        <v>0</v>
      </c>
      <c r="CI57" s="549">
        <f>IF(AND(CI$3&lt;'Data Entry'!$B$13,CI$3&lt;'Data Entry'!$C$92),'Data Entry'!$B$92,0)</f>
        <v>0</v>
      </c>
      <c r="CJ57" s="549">
        <f>IF(AND(CJ$3&lt;'Data Entry'!$B$13,CJ$3&lt;'Data Entry'!$C$92),'Data Entry'!$B$92,0)</f>
        <v>0</v>
      </c>
      <c r="CK57" s="549">
        <f>IF(AND(CK$3&lt;'Data Entry'!$B$13,CK$3&lt;'Data Entry'!$C$92),'Data Entry'!$B$92,0)</f>
        <v>0</v>
      </c>
      <c r="CL57" s="549">
        <f>IF(AND(CL$3&lt;'Data Entry'!$B$13,CL$3&lt;'Data Entry'!$C$92),'Data Entry'!$B$92,0)</f>
        <v>0</v>
      </c>
      <c r="CM57" s="549">
        <f>IF(AND(CM$3&lt;'Data Entry'!$B$13,CM$3&lt;'Data Entry'!$C$92),'Data Entry'!$B$92,0)</f>
        <v>0</v>
      </c>
      <c r="CN57" s="549">
        <f>IF(AND(CN$3&lt;'Data Entry'!$B$13,CN$3&lt;'Data Entry'!$C$92),'Data Entry'!$B$92,0)</f>
        <v>0</v>
      </c>
      <c r="CO57" s="549">
        <f>IF(AND(CO$3&lt;'Data Entry'!$B$13,CO$3&lt;'Data Entry'!$C$92),'Data Entry'!$B$92,0)</f>
        <v>0</v>
      </c>
      <c r="CP57" s="549">
        <f>IF(AND(CP$3&lt;'Data Entry'!$B$13,CP$3&lt;'Data Entry'!$C$92),'Data Entry'!$B$92,0)</f>
        <v>0</v>
      </c>
      <c r="CQ57" s="549">
        <f>IF(AND(CQ$3&lt;'Data Entry'!$B$13,CQ$3&lt;'Data Entry'!$C$92),'Data Entry'!$B$92,0)</f>
        <v>0</v>
      </c>
      <c r="CR57" s="549">
        <f>IF(AND(CR$3&lt;'Data Entry'!$B$13,CR$3&lt;'Data Entry'!$C$92),'Data Entry'!$B$92,0)</f>
        <v>0</v>
      </c>
      <c r="CS57" s="549">
        <f>IF(AND(CS$3&lt;'Data Entry'!$B$13,CS$3&lt;'Data Entry'!$C$92),'Data Entry'!$B$92,0)</f>
        <v>0</v>
      </c>
      <c r="CT57" s="549">
        <f>IF(AND(CT$3&lt;'Data Entry'!$B$13,CT$3&lt;'Data Entry'!$C$92),'Data Entry'!$B$92,0)</f>
        <v>0</v>
      </c>
      <c r="CU57" s="549">
        <f>IF(AND(CU$3&lt;'Data Entry'!$B$13,CU$3&lt;'Data Entry'!$C$92),'Data Entry'!$B$92,0)</f>
        <v>0</v>
      </c>
      <c r="CV57" s="549">
        <f>IF(AND(CV$3&lt;'Data Entry'!$B$13,CV$3&lt;'Data Entry'!$C$92),'Data Entry'!$B$92,0)</f>
        <v>0</v>
      </c>
      <c r="CW57" s="549">
        <f>IF(AND(CW$3&lt;'Data Entry'!$B$13,CW$3&lt;'Data Entry'!$C$92),'Data Entry'!$B$92,0)</f>
        <v>0</v>
      </c>
      <c r="CX57" s="549">
        <f>IF(AND(CX$3&lt;'Data Entry'!$B$13,CX$3&lt;'Data Entry'!$C$92),'Data Entry'!$B$92,0)</f>
        <v>0</v>
      </c>
      <c r="CY57" s="562">
        <f>IF(AND(CY$3&lt;'Data Entry'!$B$13,CY$3&lt;'Data Entry'!$C$92),'Data Entry'!$B$92,0)</f>
        <v>0</v>
      </c>
    </row>
    <row r="58" spans="1:103" ht="15" customHeight="1" x14ac:dyDescent="0.3">
      <c r="A58" s="714" t="s">
        <v>57</v>
      </c>
      <c r="B58" s="178" t="str">
        <f>'Data Entry'!A96</f>
        <v>One-off payments/sponsorships/donations (specify)</v>
      </c>
      <c r="C58" s="685">
        <f t="shared" si="16"/>
        <v>0</v>
      </c>
      <c r="D58" s="549">
        <f>IF(AND(D$3&lt;'Data Entry'!$B$13,D$2='Data Entry'!$C$96),'Data Entry'!$B$96,0)</f>
        <v>0</v>
      </c>
      <c r="E58" s="549">
        <f>IF(AND(E$3&lt;'Data Entry'!$B$13,E$2='Data Entry'!$C$96),'Data Entry'!$B$96,0)</f>
        <v>0</v>
      </c>
      <c r="F58" s="549">
        <f>IF(AND(F$3&lt;'Data Entry'!$B$13,F$2='Data Entry'!$C$96),'Data Entry'!$B$96,0)</f>
        <v>0</v>
      </c>
      <c r="G58" s="549">
        <f>IF(AND(G$3&lt;'Data Entry'!$B$13,G$2='Data Entry'!$C$96),'Data Entry'!$B$96,0)</f>
        <v>0</v>
      </c>
      <c r="H58" s="549">
        <f>IF(AND(H$3&lt;'Data Entry'!$B$13,H$2='Data Entry'!$C$96),'Data Entry'!$B$96,0)</f>
        <v>0</v>
      </c>
      <c r="I58" s="549">
        <f>IF(AND(I$3&lt;'Data Entry'!$B$13,I$2='Data Entry'!$C$96),'Data Entry'!$B$96,0)</f>
        <v>0</v>
      </c>
      <c r="J58" s="549">
        <f>IF(AND(J$3&lt;'Data Entry'!$B$13,J$2='Data Entry'!$C$96),'Data Entry'!$B$96,0)</f>
        <v>0</v>
      </c>
      <c r="K58" s="549">
        <f>IF(AND(K$3&lt;'Data Entry'!$B$13,K$2='Data Entry'!$C$96),'Data Entry'!$B$96,0)</f>
        <v>0</v>
      </c>
      <c r="L58" s="549">
        <f>IF(AND(L$3&lt;'Data Entry'!$B$13,L$2='Data Entry'!$C$96),'Data Entry'!$B$96,0)</f>
        <v>0</v>
      </c>
      <c r="M58" s="549">
        <f>IF(AND(M$3&lt;'Data Entry'!$B$13,M$2='Data Entry'!$C$96),'Data Entry'!$B$96,0)</f>
        <v>0</v>
      </c>
      <c r="N58" s="549">
        <f>IF(AND(N$3&lt;'Data Entry'!$B$13,N$2='Data Entry'!$C$96),'Data Entry'!$B$96,0)</f>
        <v>0</v>
      </c>
      <c r="O58" s="549">
        <f>IF(AND(O$3&lt;'Data Entry'!$B$13,O$2='Data Entry'!$C$96),'Data Entry'!$B$96,0)</f>
        <v>0</v>
      </c>
      <c r="P58" s="549">
        <f>IF(AND(P$3&lt;'Data Entry'!$B$13,P$2='Data Entry'!$C$96),'Data Entry'!$B$96,0)</f>
        <v>0</v>
      </c>
      <c r="Q58" s="549">
        <f>IF(AND(Q$3&lt;'Data Entry'!$B$13,Q$2='Data Entry'!$C$96),'Data Entry'!$B$96,0)</f>
        <v>0</v>
      </c>
      <c r="R58" s="549">
        <f>IF(AND(R$3&lt;'Data Entry'!$B$13,R$2='Data Entry'!$C$96),'Data Entry'!$B$96,0)</f>
        <v>0</v>
      </c>
      <c r="S58" s="549">
        <f>IF(AND(S$3&lt;'Data Entry'!$B$13,S$2='Data Entry'!$C$96),'Data Entry'!$B$96,0)</f>
        <v>0</v>
      </c>
      <c r="T58" s="549">
        <f>IF(AND(T$3&lt;'Data Entry'!$B$13,T$2='Data Entry'!$C$96),'Data Entry'!$B$96,0)</f>
        <v>0</v>
      </c>
      <c r="U58" s="549">
        <f>IF(AND(U$3&lt;'Data Entry'!$B$13,U$2='Data Entry'!$C$96),'Data Entry'!$B$96,0)</f>
        <v>0</v>
      </c>
      <c r="V58" s="549">
        <f>IF(AND(V$3&lt;'Data Entry'!$B$13,V$2='Data Entry'!$C$96),'Data Entry'!$B$96,0)</f>
        <v>0</v>
      </c>
      <c r="W58" s="549">
        <f>IF(AND(W$3&lt;'Data Entry'!$B$13,W$2='Data Entry'!$C$96),'Data Entry'!$B$96,0)</f>
        <v>0</v>
      </c>
      <c r="X58" s="549">
        <f>IF(AND(X$3&lt;'Data Entry'!$B$13,X$2='Data Entry'!$C$96),'Data Entry'!$B$96,0)</f>
        <v>0</v>
      </c>
      <c r="Y58" s="549">
        <f>IF(AND(Y$3&lt;'Data Entry'!$B$13,Y$2='Data Entry'!$C$96),'Data Entry'!$B$96,0)</f>
        <v>0</v>
      </c>
      <c r="Z58" s="549">
        <f>IF(AND(Z$3&lt;'Data Entry'!$B$13,Z$2='Data Entry'!$C$96),'Data Entry'!$B$96,0)</f>
        <v>0</v>
      </c>
      <c r="AA58" s="549">
        <f>IF(AND(AA$3&lt;'Data Entry'!$B$13,AA$2='Data Entry'!$C$96),'Data Entry'!$B$96,0)</f>
        <v>0</v>
      </c>
      <c r="AB58" s="549">
        <f>IF(AND(AB$3&lt;'Data Entry'!$B$13,AB$2='Data Entry'!$C$96),'Data Entry'!$B$96,0)</f>
        <v>0</v>
      </c>
      <c r="AC58" s="549">
        <f>IF(AND(AC$3&lt;'Data Entry'!$B$13,AC$2='Data Entry'!$C$96),'Data Entry'!$B$96,0)</f>
        <v>0</v>
      </c>
      <c r="AD58" s="549">
        <f>IF(AND(AD$3&lt;'Data Entry'!$B$13,AD$2='Data Entry'!$C$96),'Data Entry'!$B$96,0)</f>
        <v>0</v>
      </c>
      <c r="AE58" s="549">
        <f>IF(AND(AE$3&lt;'Data Entry'!$B$13,AE$2='Data Entry'!$C$96),'Data Entry'!$B$96,0)</f>
        <v>0</v>
      </c>
      <c r="AF58" s="549">
        <f>IF(AND(AF$3&lt;'Data Entry'!$B$13,AF$2='Data Entry'!$C$96),'Data Entry'!$B$96,0)</f>
        <v>0</v>
      </c>
      <c r="AG58" s="549">
        <f>IF(AND(AG$3&lt;'Data Entry'!$B$13,AG$2='Data Entry'!$C$96),'Data Entry'!$B$96,0)</f>
        <v>0</v>
      </c>
      <c r="AH58" s="549">
        <f>IF(AND(AH$3&lt;'Data Entry'!$B$13,AH$2='Data Entry'!$C$96),'Data Entry'!$B$96,0)</f>
        <v>0</v>
      </c>
      <c r="AI58" s="549">
        <f>IF(AND(AI$3&lt;'Data Entry'!$B$13,AI$2='Data Entry'!$C$96),'Data Entry'!$B$96,0)</f>
        <v>0</v>
      </c>
      <c r="AJ58" s="549">
        <f>IF(AND(AJ$3&lt;'Data Entry'!$B$13,AJ$2='Data Entry'!$C$96),'Data Entry'!$B$96,0)</f>
        <v>0</v>
      </c>
      <c r="AK58" s="549">
        <f>IF(AND(AK$3&lt;'Data Entry'!$B$13,AK$2='Data Entry'!$C$96),'Data Entry'!$B$96,0)</f>
        <v>0</v>
      </c>
      <c r="AL58" s="549">
        <f>IF(AND(AL$3&lt;'Data Entry'!$B$13,AL$2='Data Entry'!$C$96),'Data Entry'!$B$96,0)</f>
        <v>0</v>
      </c>
      <c r="AM58" s="549">
        <f>IF(AND(AM$3&lt;'Data Entry'!$B$13,AM$2='Data Entry'!$C$96),'Data Entry'!$B$96,0)</f>
        <v>0</v>
      </c>
      <c r="AN58" s="549">
        <f>IF(AND(AN$3&lt;'Data Entry'!$B$13,AN$2='Data Entry'!$C$96),'Data Entry'!$B$96,0)</f>
        <v>0</v>
      </c>
      <c r="AO58" s="553">
        <f>IF(AND(AO$3&lt;'Data Entry'!$B$13,AO$2='Data Entry'!$C$96),'Data Entry'!$B$96,0)</f>
        <v>0</v>
      </c>
      <c r="AP58" s="549">
        <f>IF(AND(AP$3&lt;'Data Entry'!$B$13,AP$2='Data Entry'!$C$96),'Data Entry'!$B$96,0)</f>
        <v>0</v>
      </c>
      <c r="AQ58" s="549">
        <f>IF(AND(AQ$3&lt;'Data Entry'!$B$13,AQ$2='Data Entry'!$C$96),'Data Entry'!$B$96,0)</f>
        <v>0</v>
      </c>
      <c r="AR58" s="549">
        <f>IF(AND(AR$3&lt;'Data Entry'!$B$13,AR$2='Data Entry'!$C$96),'Data Entry'!$B$96,0)</f>
        <v>0</v>
      </c>
      <c r="AS58" s="549">
        <f>IF(AND(AS$3&lt;'Data Entry'!$B$13,AS$2='Data Entry'!$C$96),'Data Entry'!$B$96,0)</f>
        <v>0</v>
      </c>
      <c r="AT58" s="549">
        <f>IF(AND(AT$3&lt;'Data Entry'!$B$13,AT$2='Data Entry'!$C$96),'Data Entry'!$B$96,0)</f>
        <v>0</v>
      </c>
      <c r="AU58" s="549">
        <f>IF(AND(AU$3&lt;'Data Entry'!$B$13,AU$2='Data Entry'!$C$96),'Data Entry'!$B$96,0)</f>
        <v>0</v>
      </c>
      <c r="AV58" s="549">
        <f>IF(AND(AV$3&lt;'Data Entry'!$B$13,AV$2='Data Entry'!$C$96),'Data Entry'!$B$96,0)</f>
        <v>0</v>
      </c>
      <c r="AW58" s="549">
        <f>IF(AND(AW$3&lt;'Data Entry'!$B$13,AW$2='Data Entry'!$C$96),'Data Entry'!$B$96,0)</f>
        <v>0</v>
      </c>
      <c r="AX58" s="549">
        <f>IF(AND(AX$3&lt;'Data Entry'!$B$13,AX$2='Data Entry'!$C$96),'Data Entry'!$B$96,0)</f>
        <v>0</v>
      </c>
      <c r="AY58" s="549">
        <f>IF(AND(AY$3&lt;'Data Entry'!$B$13,AY$2='Data Entry'!$C$96),'Data Entry'!$B$96,0)</f>
        <v>0</v>
      </c>
      <c r="AZ58" s="549">
        <f>IF(AND(AZ$3&lt;'Data Entry'!$B$13,AZ$2='Data Entry'!$C$96),'Data Entry'!$B$96,0)</f>
        <v>0</v>
      </c>
      <c r="BA58" s="549">
        <f>IF(AND(BA$3&lt;'Data Entry'!$B$13,BA$2='Data Entry'!$C$96),'Data Entry'!$B$96,0)</f>
        <v>0</v>
      </c>
      <c r="BB58" s="549">
        <f>IF(AND(BB$3&lt;'Data Entry'!$B$13,BB$2='Data Entry'!$C$96),'Data Entry'!$B$96,0)</f>
        <v>0</v>
      </c>
      <c r="BC58" s="549">
        <f>IF(AND(BC$3&lt;'Data Entry'!$B$13,BC$2='Data Entry'!$C$96),'Data Entry'!$B$96,0)</f>
        <v>0</v>
      </c>
      <c r="BD58" s="549">
        <f>IF(AND(BD$3&lt;'Data Entry'!$B$13,BD$2='Data Entry'!$C$96),'Data Entry'!$B$96,0)</f>
        <v>0</v>
      </c>
      <c r="BE58" s="549">
        <f>IF(AND(BE$3&lt;'Data Entry'!$B$13,BE$2='Data Entry'!$C$96),'Data Entry'!$B$96,0)</f>
        <v>0</v>
      </c>
      <c r="BF58" s="549">
        <f>IF(AND(BF$3&lt;'Data Entry'!$B$13,BF$2='Data Entry'!$C$96),'Data Entry'!$B$96,0)</f>
        <v>0</v>
      </c>
      <c r="BG58" s="549">
        <f>IF(AND(BG$3&lt;'Data Entry'!$B$13,BG$2='Data Entry'!$C$96),'Data Entry'!$B$96,0)</f>
        <v>0</v>
      </c>
      <c r="BH58" s="549">
        <f>IF(AND(BH$3&lt;'Data Entry'!$B$13,BH$2='Data Entry'!$C$96),'Data Entry'!$B$96,0)</f>
        <v>0</v>
      </c>
      <c r="BI58" s="549">
        <f>IF(AND(BI$3&lt;'Data Entry'!$B$13,BI$2='Data Entry'!$C$96),'Data Entry'!$B$96,0)</f>
        <v>0</v>
      </c>
      <c r="BJ58" s="549">
        <f>IF(AND(BJ$3&lt;'Data Entry'!$B$13,BJ$2='Data Entry'!$C$96),'Data Entry'!$B$96,0)</f>
        <v>0</v>
      </c>
      <c r="BK58" s="553">
        <f>IF(AND(BK$3&lt;'Data Entry'!$B$13,BK$2='Data Entry'!$C$96),'Data Entry'!$B$96,0)</f>
        <v>0</v>
      </c>
      <c r="BL58" s="549">
        <f>IF(AND(BL$3&lt;'Data Entry'!$B$13,BL$2='Data Entry'!$C$96),'Data Entry'!$B$96,0)</f>
        <v>0</v>
      </c>
      <c r="BM58" s="549">
        <f>IF(AND(BM$3&lt;'Data Entry'!$B$13,BM$2='Data Entry'!$C$96),'Data Entry'!$B$96,0)</f>
        <v>0</v>
      </c>
      <c r="BN58" s="549">
        <f>IF(AND(BN$3&lt;'Data Entry'!$B$13,BN$2='Data Entry'!$C$96),'Data Entry'!$B$96,0)</f>
        <v>0</v>
      </c>
      <c r="BO58" s="549">
        <f>IF(AND(BO$3&lt;'Data Entry'!$B$13,BO$2='Data Entry'!$C$96),'Data Entry'!$B$96,0)</f>
        <v>0</v>
      </c>
      <c r="BP58" s="549">
        <f>IF(AND(BP$3&lt;'Data Entry'!$B$13,BP$2='Data Entry'!$C$96),'Data Entry'!$B$96,0)</f>
        <v>0</v>
      </c>
      <c r="BQ58" s="549">
        <f>IF(AND(BQ$3&lt;'Data Entry'!$B$13,BQ$2='Data Entry'!$C$96),'Data Entry'!$B$96,0)</f>
        <v>0</v>
      </c>
      <c r="BR58" s="549">
        <f>IF(AND(BR$3&lt;'Data Entry'!$B$13,BR$2='Data Entry'!$C$96),'Data Entry'!$B$96,0)</f>
        <v>0</v>
      </c>
      <c r="BS58" s="549">
        <f>IF(AND(BS$3&lt;'Data Entry'!$B$13,BS$2='Data Entry'!$C$96),'Data Entry'!$B$96,0)</f>
        <v>0</v>
      </c>
      <c r="BT58" s="549">
        <f>IF(AND(BT$3&lt;'Data Entry'!$B$13,BT$2='Data Entry'!$C$96),'Data Entry'!$B$96,0)</f>
        <v>0</v>
      </c>
      <c r="BU58" s="549">
        <f>IF(AND(BU$3&lt;'Data Entry'!$B$13,BU$2='Data Entry'!$C$96),'Data Entry'!$B$96,0)</f>
        <v>0</v>
      </c>
      <c r="BV58" s="549">
        <f>IF(AND(BV$3&lt;'Data Entry'!$B$13,BV$2='Data Entry'!$C$96),'Data Entry'!$B$96,0)</f>
        <v>0</v>
      </c>
      <c r="BW58" s="549">
        <f>IF(AND(BW$3&lt;'Data Entry'!$B$13,BW$2='Data Entry'!$C$96),'Data Entry'!$B$96,0)</f>
        <v>0</v>
      </c>
      <c r="BX58" s="549">
        <f>IF(AND(BX$3&lt;'Data Entry'!$B$13,BX$2='Data Entry'!$C$96),'Data Entry'!$B$96,0)</f>
        <v>0</v>
      </c>
      <c r="BY58" s="549">
        <f>IF(AND(BY$3&lt;'Data Entry'!$B$13,BY$2='Data Entry'!$C$96),'Data Entry'!$B$96,0)</f>
        <v>0</v>
      </c>
      <c r="BZ58" s="549">
        <f>IF(AND(BZ$3&lt;'Data Entry'!$B$13,BZ$2='Data Entry'!$C$96),'Data Entry'!$B$96,0)</f>
        <v>0</v>
      </c>
      <c r="CA58" s="553">
        <f>IF(AND(CA$3&lt;'Data Entry'!$B$13,CA$2='Data Entry'!$C$96),'Data Entry'!$B$96,0)</f>
        <v>0</v>
      </c>
      <c r="CB58" s="549">
        <f>IF(AND(CB$3&lt;'Data Entry'!$B$13,CB$2='Data Entry'!$C$96),'Data Entry'!$B$96,0)</f>
        <v>0</v>
      </c>
      <c r="CC58" s="549">
        <f>IF(AND(CC$3&lt;'Data Entry'!$B$13,CC$2='Data Entry'!$C$96),'Data Entry'!$B$96,0)</f>
        <v>0</v>
      </c>
      <c r="CD58" s="549">
        <f>IF(AND(CD$3&lt;'Data Entry'!$B$13,CD$2='Data Entry'!$C$96),'Data Entry'!$B$96,0)</f>
        <v>0</v>
      </c>
      <c r="CE58" s="549">
        <f>IF(AND(CE$3&lt;'Data Entry'!$B$13,CE$2='Data Entry'!$C$96),'Data Entry'!$B$96,0)</f>
        <v>0</v>
      </c>
      <c r="CF58" s="549">
        <f>IF(AND(CF$3&lt;'Data Entry'!$B$13,CF$2='Data Entry'!$C$96),'Data Entry'!$B$96,0)</f>
        <v>0</v>
      </c>
      <c r="CG58" s="549">
        <f>IF(AND(CG$3&lt;'Data Entry'!$B$13,CG$2='Data Entry'!$C$96),'Data Entry'!$B$96,0)</f>
        <v>0</v>
      </c>
      <c r="CH58" s="549">
        <f>IF(AND(CH$3&lt;'Data Entry'!$B$13,CH$2='Data Entry'!$C$96),'Data Entry'!$B$96,0)</f>
        <v>0</v>
      </c>
      <c r="CI58" s="549">
        <f>IF(AND(CI$3&lt;'Data Entry'!$B$13,CI$2='Data Entry'!$C$96),'Data Entry'!$B$96,0)</f>
        <v>0</v>
      </c>
      <c r="CJ58" s="549">
        <f>IF(AND(CJ$3&lt;'Data Entry'!$B$13,CJ$2='Data Entry'!$C$96),'Data Entry'!$B$96,0)</f>
        <v>0</v>
      </c>
      <c r="CK58" s="549">
        <f>IF(AND(CK$3&lt;'Data Entry'!$B$13,CK$2='Data Entry'!$C$96),'Data Entry'!$B$96,0)</f>
        <v>0</v>
      </c>
      <c r="CL58" s="549">
        <f>IF(AND(CL$3&lt;'Data Entry'!$B$13,CL$2='Data Entry'!$C$96),'Data Entry'!$B$96,0)</f>
        <v>0</v>
      </c>
      <c r="CM58" s="549">
        <f>IF(AND(CM$3&lt;'Data Entry'!$B$13,CM$2='Data Entry'!$C$96),'Data Entry'!$B$96,0)</f>
        <v>0</v>
      </c>
      <c r="CN58" s="549">
        <f>IF(AND(CN$3&lt;'Data Entry'!$B$13,CN$2='Data Entry'!$C$96),'Data Entry'!$B$96,0)</f>
        <v>0</v>
      </c>
      <c r="CO58" s="549">
        <f>IF(AND(CO$3&lt;'Data Entry'!$B$13,CO$2='Data Entry'!$C$96),'Data Entry'!$B$96,0)</f>
        <v>0</v>
      </c>
      <c r="CP58" s="549">
        <f>IF(AND(CP$3&lt;'Data Entry'!$B$13,CP$2='Data Entry'!$C$96),'Data Entry'!$B$96,0)</f>
        <v>0</v>
      </c>
      <c r="CQ58" s="549">
        <f>IF(AND(CQ$3&lt;'Data Entry'!$B$13,CQ$2='Data Entry'!$C$96),'Data Entry'!$B$96,0)</f>
        <v>0</v>
      </c>
      <c r="CR58" s="549">
        <f>IF(AND(CR$3&lt;'Data Entry'!$B$13,CR$2='Data Entry'!$C$96),'Data Entry'!$B$96,0)</f>
        <v>0</v>
      </c>
      <c r="CS58" s="549">
        <f>IF(AND(CS$3&lt;'Data Entry'!$B$13,CS$2='Data Entry'!$C$96),'Data Entry'!$B$96,0)</f>
        <v>0</v>
      </c>
      <c r="CT58" s="549">
        <f>IF(AND(CT$3&lt;'Data Entry'!$B$13,CT$2='Data Entry'!$C$96),'Data Entry'!$B$96,0)</f>
        <v>0</v>
      </c>
      <c r="CU58" s="549">
        <f>IF(AND(CU$3&lt;'Data Entry'!$B$13,CU$2='Data Entry'!$C$96),'Data Entry'!$B$96,0)</f>
        <v>0</v>
      </c>
      <c r="CV58" s="549">
        <f>IF(AND(CV$3&lt;'Data Entry'!$B$13,CV$2='Data Entry'!$C$96),'Data Entry'!$B$96,0)</f>
        <v>0</v>
      </c>
      <c r="CW58" s="549">
        <f>IF(AND(CW$3&lt;'Data Entry'!$B$13,CW$2='Data Entry'!$C$96),'Data Entry'!$B$96,0)</f>
        <v>0</v>
      </c>
      <c r="CX58" s="549">
        <f>IF(AND(CX$3&lt;'Data Entry'!$B$13,CX$2='Data Entry'!$C$96),'Data Entry'!$B$96,0)</f>
        <v>0</v>
      </c>
      <c r="CY58" s="562">
        <f>IF(AND(CY$3&lt;'Data Entry'!$B$13,CY$2='Data Entry'!$C$96),'Data Entry'!$B$96,0)</f>
        <v>0</v>
      </c>
    </row>
    <row r="59" spans="1:103" ht="15" customHeight="1" x14ac:dyDescent="0.3">
      <c r="A59" s="714" t="s">
        <v>57</v>
      </c>
      <c r="B59" s="178" t="str">
        <f>'Data Entry'!A97</f>
        <v>One-off payments/sponsorships/donations (specify)</v>
      </c>
      <c r="C59" s="685">
        <f t="shared" si="16"/>
        <v>0</v>
      </c>
      <c r="D59" s="549">
        <f>IF(AND(D$3&lt;'Data Entry'!$B$13,D$2='Data Entry'!$C$97),'Data Entry'!$B$97,0)</f>
        <v>0</v>
      </c>
      <c r="E59" s="549">
        <f>IF(AND(E$3&lt;'Data Entry'!$B$13,E$2='Data Entry'!$C$97),'Data Entry'!$B$97,0)</f>
        <v>0</v>
      </c>
      <c r="F59" s="549">
        <f>IF(AND(F$3&lt;'Data Entry'!$B$13,F$2='Data Entry'!$C$97),'Data Entry'!$B$97,0)</f>
        <v>0</v>
      </c>
      <c r="G59" s="549">
        <f>IF(AND(G$3&lt;'Data Entry'!$B$13,G$2='Data Entry'!$C$97),'Data Entry'!$B$97,0)</f>
        <v>0</v>
      </c>
      <c r="H59" s="549">
        <f>IF(AND(H$3&lt;'Data Entry'!$B$13,H$2='Data Entry'!$C$97),'Data Entry'!$B$97,0)</f>
        <v>0</v>
      </c>
      <c r="I59" s="549">
        <f>IF(AND(I$3&lt;'Data Entry'!$B$13,I$2='Data Entry'!$C$97),'Data Entry'!$B$97,0)</f>
        <v>0</v>
      </c>
      <c r="J59" s="549">
        <f>IF(AND(J$3&lt;'Data Entry'!$B$13,J$2='Data Entry'!$C$97),'Data Entry'!$B$97,0)</f>
        <v>0</v>
      </c>
      <c r="K59" s="549">
        <f>IF(AND(K$3&lt;'Data Entry'!$B$13,K$2='Data Entry'!$C$97),'Data Entry'!$B$97,0)</f>
        <v>0</v>
      </c>
      <c r="L59" s="549">
        <f>IF(AND(L$3&lt;'Data Entry'!$B$13,L$2='Data Entry'!$C$97),'Data Entry'!$B$97,0)</f>
        <v>0</v>
      </c>
      <c r="M59" s="549">
        <f>IF(AND(M$3&lt;'Data Entry'!$B$13,M$2='Data Entry'!$C$97),'Data Entry'!$B$97,0)</f>
        <v>0</v>
      </c>
      <c r="N59" s="549">
        <f>IF(AND(N$3&lt;'Data Entry'!$B$13,N$2='Data Entry'!$C$97),'Data Entry'!$B$97,0)</f>
        <v>0</v>
      </c>
      <c r="O59" s="549">
        <f>IF(AND(O$3&lt;'Data Entry'!$B$13,O$2='Data Entry'!$C$97),'Data Entry'!$B$97,0)</f>
        <v>0</v>
      </c>
      <c r="P59" s="549">
        <f>IF(AND(P$3&lt;'Data Entry'!$B$13,P$2='Data Entry'!$C$97),'Data Entry'!$B$97,0)</f>
        <v>0</v>
      </c>
      <c r="Q59" s="549">
        <f>IF(AND(Q$3&lt;'Data Entry'!$B$13,Q$2='Data Entry'!$C$97),'Data Entry'!$B$97,0)</f>
        <v>0</v>
      </c>
      <c r="R59" s="549">
        <f>IF(AND(R$3&lt;'Data Entry'!$B$13,R$2='Data Entry'!$C$97),'Data Entry'!$B$97,0)</f>
        <v>0</v>
      </c>
      <c r="S59" s="549">
        <f>IF(AND(S$3&lt;'Data Entry'!$B$13,S$2='Data Entry'!$C$97),'Data Entry'!$B$97,0)</f>
        <v>0</v>
      </c>
      <c r="T59" s="549">
        <f>IF(AND(T$3&lt;'Data Entry'!$B$13,T$2='Data Entry'!$C$97),'Data Entry'!$B$97,0)</f>
        <v>0</v>
      </c>
      <c r="U59" s="549">
        <f>IF(AND(U$3&lt;'Data Entry'!$B$13,U$2='Data Entry'!$C$97),'Data Entry'!$B$97,0)</f>
        <v>0</v>
      </c>
      <c r="V59" s="549">
        <f>IF(AND(V$3&lt;'Data Entry'!$B$13,V$2='Data Entry'!$C$97),'Data Entry'!$B$97,0)</f>
        <v>0</v>
      </c>
      <c r="W59" s="549">
        <f>IF(AND(W$3&lt;'Data Entry'!$B$13,W$2='Data Entry'!$C$97),'Data Entry'!$B$97,0)</f>
        <v>0</v>
      </c>
      <c r="X59" s="549">
        <f>IF(AND(X$3&lt;'Data Entry'!$B$13,X$2='Data Entry'!$C$97),'Data Entry'!$B$97,0)</f>
        <v>0</v>
      </c>
      <c r="Y59" s="549">
        <f>IF(AND(Y$3&lt;'Data Entry'!$B$13,Y$2='Data Entry'!$C$97),'Data Entry'!$B$97,0)</f>
        <v>0</v>
      </c>
      <c r="Z59" s="549">
        <f>IF(AND(Z$3&lt;'Data Entry'!$B$13,Z$2='Data Entry'!$C$97),'Data Entry'!$B$97,0)</f>
        <v>0</v>
      </c>
      <c r="AA59" s="549">
        <f>IF(AND(AA$3&lt;'Data Entry'!$B$13,AA$2='Data Entry'!$C$97),'Data Entry'!$B$97,0)</f>
        <v>0</v>
      </c>
      <c r="AB59" s="549">
        <f>IF(AND(AB$3&lt;'Data Entry'!$B$13,AB$2='Data Entry'!$C$97),'Data Entry'!$B$97,0)</f>
        <v>0</v>
      </c>
      <c r="AC59" s="549">
        <f>IF(AND(AC$3&lt;'Data Entry'!$B$13,AC$2='Data Entry'!$C$97),'Data Entry'!$B$97,0)</f>
        <v>0</v>
      </c>
      <c r="AD59" s="549">
        <f>IF(AND(AD$3&lt;'Data Entry'!$B$13,AD$2='Data Entry'!$C$97),'Data Entry'!$B$97,0)</f>
        <v>0</v>
      </c>
      <c r="AE59" s="549">
        <f>IF(AND(AE$3&lt;'Data Entry'!$B$13,AE$2='Data Entry'!$C$97),'Data Entry'!$B$97,0)</f>
        <v>0</v>
      </c>
      <c r="AF59" s="549">
        <f>IF(AND(AF$3&lt;'Data Entry'!$B$13,AF$2='Data Entry'!$C$97),'Data Entry'!$B$97,0)</f>
        <v>0</v>
      </c>
      <c r="AG59" s="549">
        <f>IF(AND(AG$3&lt;'Data Entry'!$B$13,AG$2='Data Entry'!$C$97),'Data Entry'!$B$97,0)</f>
        <v>0</v>
      </c>
      <c r="AH59" s="549">
        <f>IF(AND(AH$3&lt;'Data Entry'!$B$13,AH$2='Data Entry'!$C$97),'Data Entry'!$B$97,0)</f>
        <v>0</v>
      </c>
      <c r="AI59" s="549">
        <f>IF(AND(AI$3&lt;'Data Entry'!$B$13,AI$2='Data Entry'!$C$97),'Data Entry'!$B$97,0)</f>
        <v>0</v>
      </c>
      <c r="AJ59" s="549">
        <f>IF(AND(AJ$3&lt;'Data Entry'!$B$13,AJ$2='Data Entry'!$C$97),'Data Entry'!$B$97,0)</f>
        <v>0</v>
      </c>
      <c r="AK59" s="549">
        <f>IF(AND(AK$3&lt;'Data Entry'!$B$13,AK$2='Data Entry'!$C$97),'Data Entry'!$B$97,0)</f>
        <v>0</v>
      </c>
      <c r="AL59" s="549">
        <f>IF(AND(AL$3&lt;'Data Entry'!$B$13,AL$2='Data Entry'!$C$97),'Data Entry'!$B$97,0)</f>
        <v>0</v>
      </c>
      <c r="AM59" s="549">
        <f>IF(AND(AM$3&lt;'Data Entry'!$B$13,AM$2='Data Entry'!$C$97),'Data Entry'!$B$97,0)</f>
        <v>0</v>
      </c>
      <c r="AN59" s="549">
        <f>IF(AND(AN$3&lt;'Data Entry'!$B$13,AN$2='Data Entry'!$C$97),'Data Entry'!$B$97,0)</f>
        <v>0</v>
      </c>
      <c r="AO59" s="553">
        <f>IF(AND(AO$3&lt;'Data Entry'!$B$13,AO$2='Data Entry'!$C$97),'Data Entry'!$B$97,0)</f>
        <v>0</v>
      </c>
      <c r="AP59" s="549">
        <f>IF(AND(AP$3&lt;'Data Entry'!$B$13,AP$2='Data Entry'!$C$97),'Data Entry'!$B$97,0)</f>
        <v>0</v>
      </c>
      <c r="AQ59" s="549">
        <f>IF(AND(AQ$3&lt;'Data Entry'!$B$13,AQ$2='Data Entry'!$C$97),'Data Entry'!$B$97,0)</f>
        <v>0</v>
      </c>
      <c r="AR59" s="549">
        <f>IF(AND(AR$3&lt;'Data Entry'!$B$13,AR$2='Data Entry'!$C$97),'Data Entry'!$B$97,0)</f>
        <v>0</v>
      </c>
      <c r="AS59" s="549">
        <f>IF(AND(AS$3&lt;'Data Entry'!$B$13,AS$2='Data Entry'!$C$97),'Data Entry'!$B$97,0)</f>
        <v>0</v>
      </c>
      <c r="AT59" s="549">
        <f>IF(AND(AT$3&lt;'Data Entry'!$B$13,AT$2='Data Entry'!$C$97),'Data Entry'!$B$97,0)</f>
        <v>0</v>
      </c>
      <c r="AU59" s="549">
        <f>IF(AND(AU$3&lt;'Data Entry'!$B$13,AU$2='Data Entry'!$C$97),'Data Entry'!$B$97,0)</f>
        <v>0</v>
      </c>
      <c r="AV59" s="549">
        <f>IF(AND(AV$3&lt;'Data Entry'!$B$13,AV$2='Data Entry'!$C$97),'Data Entry'!$B$97,0)</f>
        <v>0</v>
      </c>
      <c r="AW59" s="549">
        <f>IF(AND(AW$3&lt;'Data Entry'!$B$13,AW$2='Data Entry'!$C$97),'Data Entry'!$B$97,0)</f>
        <v>0</v>
      </c>
      <c r="AX59" s="549">
        <f>IF(AND(AX$3&lt;'Data Entry'!$B$13,AX$2='Data Entry'!$C$97),'Data Entry'!$B$97,0)</f>
        <v>0</v>
      </c>
      <c r="AY59" s="549">
        <f>IF(AND(AY$3&lt;'Data Entry'!$B$13,AY$2='Data Entry'!$C$97),'Data Entry'!$B$97,0)</f>
        <v>0</v>
      </c>
      <c r="AZ59" s="549">
        <f>IF(AND(AZ$3&lt;'Data Entry'!$B$13,AZ$2='Data Entry'!$C$97),'Data Entry'!$B$97,0)</f>
        <v>0</v>
      </c>
      <c r="BA59" s="549">
        <f>IF(AND(BA$3&lt;'Data Entry'!$B$13,BA$2='Data Entry'!$C$97),'Data Entry'!$B$97,0)</f>
        <v>0</v>
      </c>
      <c r="BB59" s="549">
        <f>IF(AND(BB$3&lt;'Data Entry'!$B$13,BB$2='Data Entry'!$C$97),'Data Entry'!$B$97,0)</f>
        <v>0</v>
      </c>
      <c r="BC59" s="549">
        <f>IF(AND(BC$3&lt;'Data Entry'!$B$13,BC$2='Data Entry'!$C$97),'Data Entry'!$B$97,0)</f>
        <v>0</v>
      </c>
      <c r="BD59" s="549">
        <f>IF(AND(BD$3&lt;'Data Entry'!$B$13,BD$2='Data Entry'!$C$97),'Data Entry'!$B$97,0)</f>
        <v>0</v>
      </c>
      <c r="BE59" s="549">
        <f>IF(AND(BE$3&lt;'Data Entry'!$B$13,BE$2='Data Entry'!$C$97),'Data Entry'!$B$97,0)</f>
        <v>0</v>
      </c>
      <c r="BF59" s="549">
        <f>IF(AND(BF$3&lt;'Data Entry'!$B$13,BF$2='Data Entry'!$C$97),'Data Entry'!$B$97,0)</f>
        <v>0</v>
      </c>
      <c r="BG59" s="549">
        <f>IF(AND(BG$3&lt;'Data Entry'!$B$13,BG$2='Data Entry'!$C$97),'Data Entry'!$B$97,0)</f>
        <v>0</v>
      </c>
      <c r="BH59" s="549">
        <f>IF(AND(BH$3&lt;'Data Entry'!$B$13,BH$2='Data Entry'!$C$97),'Data Entry'!$B$97,0)</f>
        <v>0</v>
      </c>
      <c r="BI59" s="549">
        <f>IF(AND(BI$3&lt;'Data Entry'!$B$13,BI$2='Data Entry'!$C$97),'Data Entry'!$B$97,0)</f>
        <v>0</v>
      </c>
      <c r="BJ59" s="549">
        <f>IF(AND(BJ$3&lt;'Data Entry'!$B$13,BJ$2='Data Entry'!$C$97),'Data Entry'!$B$97,0)</f>
        <v>0</v>
      </c>
      <c r="BK59" s="553">
        <f>IF(AND(BK$3&lt;'Data Entry'!$B$13,BK$2='Data Entry'!$C$97),'Data Entry'!$B$97,0)</f>
        <v>0</v>
      </c>
      <c r="BL59" s="549">
        <f>IF(AND(BL$3&lt;'Data Entry'!$B$13,BL$2='Data Entry'!$C$97),'Data Entry'!$B$97,0)</f>
        <v>0</v>
      </c>
      <c r="BM59" s="549">
        <f>IF(AND(BM$3&lt;'Data Entry'!$B$13,BM$2='Data Entry'!$C$97),'Data Entry'!$B$97,0)</f>
        <v>0</v>
      </c>
      <c r="BN59" s="549">
        <f>IF(AND(BN$3&lt;'Data Entry'!$B$13,BN$2='Data Entry'!$C$97),'Data Entry'!$B$97,0)</f>
        <v>0</v>
      </c>
      <c r="BO59" s="549">
        <f>IF(AND(BO$3&lt;'Data Entry'!$B$13,BO$2='Data Entry'!$C$97),'Data Entry'!$B$97,0)</f>
        <v>0</v>
      </c>
      <c r="BP59" s="549">
        <f>IF(AND(BP$3&lt;'Data Entry'!$B$13,BP$2='Data Entry'!$C$97),'Data Entry'!$B$97,0)</f>
        <v>0</v>
      </c>
      <c r="BQ59" s="549">
        <f>IF(AND(BQ$3&lt;'Data Entry'!$B$13,BQ$2='Data Entry'!$C$97),'Data Entry'!$B$97,0)</f>
        <v>0</v>
      </c>
      <c r="BR59" s="549">
        <f>IF(AND(BR$3&lt;'Data Entry'!$B$13,BR$2='Data Entry'!$C$97),'Data Entry'!$B$97,0)</f>
        <v>0</v>
      </c>
      <c r="BS59" s="549">
        <f>IF(AND(BS$3&lt;'Data Entry'!$B$13,BS$2='Data Entry'!$C$97),'Data Entry'!$B$97,0)</f>
        <v>0</v>
      </c>
      <c r="BT59" s="549">
        <f>IF(AND(BT$3&lt;'Data Entry'!$B$13,BT$2='Data Entry'!$C$97),'Data Entry'!$B$97,0)</f>
        <v>0</v>
      </c>
      <c r="BU59" s="549">
        <f>IF(AND(BU$3&lt;'Data Entry'!$B$13,BU$2='Data Entry'!$C$97),'Data Entry'!$B$97,0)</f>
        <v>0</v>
      </c>
      <c r="BV59" s="549">
        <f>IF(AND(BV$3&lt;'Data Entry'!$B$13,BV$2='Data Entry'!$C$97),'Data Entry'!$B$97,0)</f>
        <v>0</v>
      </c>
      <c r="BW59" s="549">
        <f>IF(AND(BW$3&lt;'Data Entry'!$B$13,BW$2='Data Entry'!$C$97),'Data Entry'!$B$97,0)</f>
        <v>0</v>
      </c>
      <c r="BX59" s="549">
        <f>IF(AND(BX$3&lt;'Data Entry'!$B$13,BX$2='Data Entry'!$C$97),'Data Entry'!$B$97,0)</f>
        <v>0</v>
      </c>
      <c r="BY59" s="549">
        <f>IF(AND(BY$3&lt;'Data Entry'!$B$13,BY$2='Data Entry'!$C$97),'Data Entry'!$B$97,0)</f>
        <v>0</v>
      </c>
      <c r="BZ59" s="549">
        <f>IF(AND(BZ$3&lt;'Data Entry'!$B$13,BZ$2='Data Entry'!$C$97),'Data Entry'!$B$97,0)</f>
        <v>0</v>
      </c>
      <c r="CA59" s="553">
        <f>IF(AND(CA$3&lt;'Data Entry'!$B$13,CA$2='Data Entry'!$C$97),'Data Entry'!$B$97,0)</f>
        <v>0</v>
      </c>
      <c r="CB59" s="549">
        <f>IF(AND(CB$3&lt;'Data Entry'!$B$13,CB$2='Data Entry'!$C$97),'Data Entry'!$B$97,0)</f>
        <v>0</v>
      </c>
      <c r="CC59" s="549">
        <f>IF(AND(CC$3&lt;'Data Entry'!$B$13,CC$2='Data Entry'!$C$97),'Data Entry'!$B$97,0)</f>
        <v>0</v>
      </c>
      <c r="CD59" s="549">
        <f>IF(AND(CD$3&lt;'Data Entry'!$B$13,CD$2='Data Entry'!$C$97),'Data Entry'!$B$97,0)</f>
        <v>0</v>
      </c>
      <c r="CE59" s="549">
        <f>IF(AND(CE$3&lt;'Data Entry'!$B$13,CE$2='Data Entry'!$C$97),'Data Entry'!$B$97,0)</f>
        <v>0</v>
      </c>
      <c r="CF59" s="549">
        <f>IF(AND(CF$3&lt;'Data Entry'!$B$13,CF$2='Data Entry'!$C$97),'Data Entry'!$B$97,0)</f>
        <v>0</v>
      </c>
      <c r="CG59" s="549">
        <f>IF(AND(CG$3&lt;'Data Entry'!$B$13,CG$2='Data Entry'!$C$97),'Data Entry'!$B$97,0)</f>
        <v>0</v>
      </c>
      <c r="CH59" s="549">
        <f>IF(AND(CH$3&lt;'Data Entry'!$B$13,CH$2='Data Entry'!$C$97),'Data Entry'!$B$97,0)</f>
        <v>0</v>
      </c>
      <c r="CI59" s="549">
        <f>IF(AND(CI$3&lt;'Data Entry'!$B$13,CI$2='Data Entry'!$C$97),'Data Entry'!$B$97,0)</f>
        <v>0</v>
      </c>
      <c r="CJ59" s="549">
        <f>IF(AND(CJ$3&lt;'Data Entry'!$B$13,CJ$2='Data Entry'!$C$97),'Data Entry'!$B$97,0)</f>
        <v>0</v>
      </c>
      <c r="CK59" s="549">
        <f>IF(AND(CK$3&lt;'Data Entry'!$B$13,CK$2='Data Entry'!$C$97),'Data Entry'!$B$97,0)</f>
        <v>0</v>
      </c>
      <c r="CL59" s="549">
        <f>IF(AND(CL$3&lt;'Data Entry'!$B$13,CL$2='Data Entry'!$C$97),'Data Entry'!$B$97,0)</f>
        <v>0</v>
      </c>
      <c r="CM59" s="549">
        <f>IF(AND(CM$3&lt;'Data Entry'!$B$13,CM$2='Data Entry'!$C$97),'Data Entry'!$B$97,0)</f>
        <v>0</v>
      </c>
      <c r="CN59" s="549">
        <f>IF(AND(CN$3&lt;'Data Entry'!$B$13,CN$2='Data Entry'!$C$97),'Data Entry'!$B$97,0)</f>
        <v>0</v>
      </c>
      <c r="CO59" s="549">
        <f>IF(AND(CO$3&lt;'Data Entry'!$B$13,CO$2='Data Entry'!$C$97),'Data Entry'!$B$97,0)</f>
        <v>0</v>
      </c>
      <c r="CP59" s="549">
        <f>IF(AND(CP$3&lt;'Data Entry'!$B$13,CP$2='Data Entry'!$C$97),'Data Entry'!$B$97,0)</f>
        <v>0</v>
      </c>
      <c r="CQ59" s="549">
        <f>IF(AND(CQ$3&lt;'Data Entry'!$B$13,CQ$2='Data Entry'!$C$97),'Data Entry'!$B$97,0)</f>
        <v>0</v>
      </c>
      <c r="CR59" s="549">
        <f>IF(AND(CR$3&lt;'Data Entry'!$B$13,CR$2='Data Entry'!$C$97),'Data Entry'!$B$97,0)</f>
        <v>0</v>
      </c>
      <c r="CS59" s="549">
        <f>IF(AND(CS$3&lt;'Data Entry'!$B$13,CS$2='Data Entry'!$C$97),'Data Entry'!$B$97,0)</f>
        <v>0</v>
      </c>
      <c r="CT59" s="549">
        <f>IF(AND(CT$3&lt;'Data Entry'!$B$13,CT$2='Data Entry'!$C$97),'Data Entry'!$B$97,0)</f>
        <v>0</v>
      </c>
      <c r="CU59" s="549">
        <f>IF(AND(CU$3&lt;'Data Entry'!$B$13,CU$2='Data Entry'!$C$97),'Data Entry'!$B$97,0)</f>
        <v>0</v>
      </c>
      <c r="CV59" s="549">
        <f>IF(AND(CV$3&lt;'Data Entry'!$B$13,CV$2='Data Entry'!$C$97),'Data Entry'!$B$97,0)</f>
        <v>0</v>
      </c>
      <c r="CW59" s="549">
        <f>IF(AND(CW$3&lt;'Data Entry'!$B$13,CW$2='Data Entry'!$C$97),'Data Entry'!$B$97,0)</f>
        <v>0</v>
      </c>
      <c r="CX59" s="549">
        <f>IF(AND(CX$3&lt;'Data Entry'!$B$13,CX$2='Data Entry'!$C$97),'Data Entry'!$B$97,0)</f>
        <v>0</v>
      </c>
      <c r="CY59" s="562">
        <f>IF(AND(CY$3&lt;'Data Entry'!$B$13,CY$2='Data Entry'!$C$97),'Data Entry'!$B$97,0)</f>
        <v>0</v>
      </c>
    </row>
    <row r="60" spans="1:103" ht="15" customHeight="1" x14ac:dyDescent="0.3">
      <c r="A60" s="714" t="s">
        <v>57</v>
      </c>
      <c r="B60" s="178" t="str">
        <f>'Data Entry'!A98</f>
        <v>One-off payments/sponsorships/donations (specify)</v>
      </c>
      <c r="C60" s="685">
        <f t="shared" si="16"/>
        <v>0</v>
      </c>
      <c r="D60" s="549">
        <f>IF(AND(D$3&lt;'Data Entry'!$B$13,D$2='Data Entry'!$C$98),'Data Entry'!$B$98,0)</f>
        <v>0</v>
      </c>
      <c r="E60" s="549">
        <f>IF(AND(E$3&lt;'Data Entry'!$B$13,E$2='Data Entry'!$C$98),'Data Entry'!$B$98,0)</f>
        <v>0</v>
      </c>
      <c r="F60" s="549">
        <f>IF(AND(F$3&lt;'Data Entry'!$B$13,F$2='Data Entry'!$C$98),'Data Entry'!$B$98,0)</f>
        <v>0</v>
      </c>
      <c r="G60" s="549">
        <f>IF(AND(G$3&lt;'Data Entry'!$B$13,G$2='Data Entry'!$C$98),'Data Entry'!$B$98,0)</f>
        <v>0</v>
      </c>
      <c r="H60" s="549">
        <f>IF(AND(H$3&lt;'Data Entry'!$B$13,H$2='Data Entry'!$C$98),'Data Entry'!$B$98,0)</f>
        <v>0</v>
      </c>
      <c r="I60" s="549">
        <f>IF(AND(I$3&lt;'Data Entry'!$B$13,I$2='Data Entry'!$C$98),'Data Entry'!$B$98,0)</f>
        <v>0</v>
      </c>
      <c r="J60" s="549">
        <f>IF(AND(J$3&lt;'Data Entry'!$B$13,J$2='Data Entry'!$C$98),'Data Entry'!$B$98,0)</f>
        <v>0</v>
      </c>
      <c r="K60" s="549">
        <f>IF(AND(K$3&lt;'Data Entry'!$B$13,K$2='Data Entry'!$C$98),'Data Entry'!$B$98,0)</f>
        <v>0</v>
      </c>
      <c r="L60" s="549">
        <f>IF(AND(L$3&lt;'Data Entry'!$B$13,L$2='Data Entry'!$C$98),'Data Entry'!$B$98,0)</f>
        <v>0</v>
      </c>
      <c r="M60" s="549">
        <f>IF(AND(M$3&lt;'Data Entry'!$B$13,M$2='Data Entry'!$C$98),'Data Entry'!$B$98,0)</f>
        <v>0</v>
      </c>
      <c r="N60" s="549">
        <f>IF(AND(N$3&lt;'Data Entry'!$B$13,N$2='Data Entry'!$C$98),'Data Entry'!$B$98,0)</f>
        <v>0</v>
      </c>
      <c r="O60" s="549">
        <f>IF(AND(O$3&lt;'Data Entry'!$B$13,O$2='Data Entry'!$C$98),'Data Entry'!$B$98,0)</f>
        <v>0</v>
      </c>
      <c r="P60" s="549">
        <f>IF(AND(P$3&lt;'Data Entry'!$B$13,P$2='Data Entry'!$C$98),'Data Entry'!$B$98,0)</f>
        <v>0</v>
      </c>
      <c r="Q60" s="549">
        <f>IF(AND(Q$3&lt;'Data Entry'!$B$13,Q$2='Data Entry'!$C$98),'Data Entry'!$B$98,0)</f>
        <v>0</v>
      </c>
      <c r="R60" s="549">
        <f>IF(AND(R$3&lt;'Data Entry'!$B$13,R$2='Data Entry'!$C$98),'Data Entry'!$B$98,0)</f>
        <v>0</v>
      </c>
      <c r="S60" s="549">
        <f>IF(AND(S$3&lt;'Data Entry'!$B$13,S$2='Data Entry'!$C$98),'Data Entry'!$B$98,0)</f>
        <v>0</v>
      </c>
      <c r="T60" s="549">
        <f>IF(AND(T$3&lt;'Data Entry'!$B$13,T$2='Data Entry'!$C$98),'Data Entry'!$B$98,0)</f>
        <v>0</v>
      </c>
      <c r="U60" s="549">
        <f>IF(AND(U$3&lt;'Data Entry'!$B$13,U$2='Data Entry'!$C$98),'Data Entry'!$B$98,0)</f>
        <v>0</v>
      </c>
      <c r="V60" s="549">
        <f>IF(AND(V$3&lt;'Data Entry'!$B$13,V$2='Data Entry'!$C$98),'Data Entry'!$B$98,0)</f>
        <v>0</v>
      </c>
      <c r="W60" s="549">
        <f>IF(AND(W$3&lt;'Data Entry'!$B$13,W$2='Data Entry'!$C$98),'Data Entry'!$B$98,0)</f>
        <v>0</v>
      </c>
      <c r="X60" s="549">
        <f>IF(AND(X$3&lt;'Data Entry'!$B$13,X$2='Data Entry'!$C$98),'Data Entry'!$B$98,0)</f>
        <v>0</v>
      </c>
      <c r="Y60" s="549">
        <f>IF(AND(Y$3&lt;'Data Entry'!$B$13,Y$2='Data Entry'!$C$98),'Data Entry'!$B$98,0)</f>
        <v>0</v>
      </c>
      <c r="Z60" s="549">
        <f>IF(AND(Z$3&lt;'Data Entry'!$B$13,Z$2='Data Entry'!$C$98),'Data Entry'!$B$98,0)</f>
        <v>0</v>
      </c>
      <c r="AA60" s="549">
        <f>IF(AND(AA$3&lt;'Data Entry'!$B$13,AA$2='Data Entry'!$C$98),'Data Entry'!$B$98,0)</f>
        <v>0</v>
      </c>
      <c r="AB60" s="549">
        <f>IF(AND(AB$3&lt;'Data Entry'!$B$13,AB$2='Data Entry'!$C$98),'Data Entry'!$B$98,0)</f>
        <v>0</v>
      </c>
      <c r="AC60" s="549">
        <f>IF(AND(AC$3&lt;'Data Entry'!$B$13,AC$2='Data Entry'!$C$98),'Data Entry'!$B$98,0)</f>
        <v>0</v>
      </c>
      <c r="AD60" s="549">
        <f>IF(AND(AD$3&lt;'Data Entry'!$B$13,AD$2='Data Entry'!$C$98),'Data Entry'!$B$98,0)</f>
        <v>0</v>
      </c>
      <c r="AE60" s="549">
        <f>IF(AND(AE$3&lt;'Data Entry'!$B$13,AE$2='Data Entry'!$C$98),'Data Entry'!$B$98,0)</f>
        <v>0</v>
      </c>
      <c r="AF60" s="549">
        <f>IF(AND(AF$3&lt;'Data Entry'!$B$13,AF$2='Data Entry'!$C$98),'Data Entry'!$B$98,0)</f>
        <v>0</v>
      </c>
      <c r="AG60" s="549">
        <f>IF(AND(AG$3&lt;'Data Entry'!$B$13,AG$2='Data Entry'!$C$98),'Data Entry'!$B$98,0)</f>
        <v>0</v>
      </c>
      <c r="AH60" s="549">
        <f>IF(AND(AH$3&lt;'Data Entry'!$B$13,AH$2='Data Entry'!$C$98),'Data Entry'!$B$98,0)</f>
        <v>0</v>
      </c>
      <c r="AI60" s="549">
        <f>IF(AND(AI$3&lt;'Data Entry'!$B$13,AI$2='Data Entry'!$C$98),'Data Entry'!$B$98,0)</f>
        <v>0</v>
      </c>
      <c r="AJ60" s="549">
        <f>IF(AND(AJ$3&lt;'Data Entry'!$B$13,AJ$2='Data Entry'!$C$98),'Data Entry'!$B$98,0)</f>
        <v>0</v>
      </c>
      <c r="AK60" s="549">
        <f>IF(AND(AK$3&lt;'Data Entry'!$B$13,AK$2='Data Entry'!$C$98),'Data Entry'!$B$98,0)</f>
        <v>0</v>
      </c>
      <c r="AL60" s="549">
        <f>IF(AND(AL$3&lt;'Data Entry'!$B$13,AL$2='Data Entry'!$C$98),'Data Entry'!$B$98,0)</f>
        <v>0</v>
      </c>
      <c r="AM60" s="549">
        <f>IF(AND(AM$3&lt;'Data Entry'!$B$13,AM$2='Data Entry'!$C$98),'Data Entry'!$B$98,0)</f>
        <v>0</v>
      </c>
      <c r="AN60" s="549">
        <f>IF(AND(AN$3&lt;'Data Entry'!$B$13,AN$2='Data Entry'!$C$98),'Data Entry'!$B$98,0)</f>
        <v>0</v>
      </c>
      <c r="AO60" s="553">
        <f>IF(AND(AO$3&lt;'Data Entry'!$B$13,AO$2='Data Entry'!$C$98),'Data Entry'!$B$98,0)</f>
        <v>0</v>
      </c>
      <c r="AP60" s="549">
        <f>IF(AND(AP$3&lt;'Data Entry'!$B$13,AP$2='Data Entry'!$C$98),'Data Entry'!$B$98,0)</f>
        <v>0</v>
      </c>
      <c r="AQ60" s="549">
        <f>IF(AND(AQ$3&lt;'Data Entry'!$B$13,AQ$2='Data Entry'!$C$98),'Data Entry'!$B$98,0)</f>
        <v>0</v>
      </c>
      <c r="AR60" s="549">
        <f>IF(AND(AR$3&lt;'Data Entry'!$B$13,AR$2='Data Entry'!$C$98),'Data Entry'!$B$98,0)</f>
        <v>0</v>
      </c>
      <c r="AS60" s="549">
        <f>IF(AND(AS$3&lt;'Data Entry'!$B$13,AS$2='Data Entry'!$C$98),'Data Entry'!$B$98,0)</f>
        <v>0</v>
      </c>
      <c r="AT60" s="549">
        <f>IF(AND(AT$3&lt;'Data Entry'!$B$13,AT$2='Data Entry'!$C$98),'Data Entry'!$B$98,0)</f>
        <v>0</v>
      </c>
      <c r="AU60" s="549">
        <f>IF(AND(AU$3&lt;'Data Entry'!$B$13,AU$2='Data Entry'!$C$98),'Data Entry'!$B$98,0)</f>
        <v>0</v>
      </c>
      <c r="AV60" s="549">
        <f>IF(AND(AV$3&lt;'Data Entry'!$B$13,AV$2='Data Entry'!$C$98),'Data Entry'!$B$98,0)</f>
        <v>0</v>
      </c>
      <c r="AW60" s="549">
        <f>IF(AND(AW$3&lt;'Data Entry'!$B$13,AW$2='Data Entry'!$C$98),'Data Entry'!$B$98,0)</f>
        <v>0</v>
      </c>
      <c r="AX60" s="549">
        <f>IF(AND(AX$3&lt;'Data Entry'!$B$13,AX$2='Data Entry'!$C$98),'Data Entry'!$B$98,0)</f>
        <v>0</v>
      </c>
      <c r="AY60" s="549">
        <f>IF(AND(AY$3&lt;'Data Entry'!$B$13,AY$2='Data Entry'!$C$98),'Data Entry'!$B$98,0)</f>
        <v>0</v>
      </c>
      <c r="AZ60" s="549">
        <f>IF(AND(AZ$3&lt;'Data Entry'!$B$13,AZ$2='Data Entry'!$C$98),'Data Entry'!$B$98,0)</f>
        <v>0</v>
      </c>
      <c r="BA60" s="549">
        <f>IF(AND(BA$3&lt;'Data Entry'!$B$13,BA$2='Data Entry'!$C$98),'Data Entry'!$B$98,0)</f>
        <v>0</v>
      </c>
      <c r="BB60" s="549">
        <f>IF(AND(BB$3&lt;'Data Entry'!$B$13,BB$2='Data Entry'!$C$98),'Data Entry'!$B$98,0)</f>
        <v>0</v>
      </c>
      <c r="BC60" s="549">
        <f>IF(AND(BC$3&lt;'Data Entry'!$B$13,BC$2='Data Entry'!$C$98),'Data Entry'!$B$98,0)</f>
        <v>0</v>
      </c>
      <c r="BD60" s="549">
        <f>IF(AND(BD$3&lt;'Data Entry'!$B$13,BD$2='Data Entry'!$C$98),'Data Entry'!$B$98,0)</f>
        <v>0</v>
      </c>
      <c r="BE60" s="549">
        <f>IF(AND(BE$3&lt;'Data Entry'!$B$13,BE$2='Data Entry'!$C$98),'Data Entry'!$B$98,0)</f>
        <v>0</v>
      </c>
      <c r="BF60" s="549">
        <f>IF(AND(BF$3&lt;'Data Entry'!$B$13,BF$2='Data Entry'!$C$98),'Data Entry'!$B$98,0)</f>
        <v>0</v>
      </c>
      <c r="BG60" s="549">
        <f>IF(AND(BG$3&lt;'Data Entry'!$B$13,BG$2='Data Entry'!$C$98),'Data Entry'!$B$98,0)</f>
        <v>0</v>
      </c>
      <c r="BH60" s="549">
        <f>IF(AND(BH$3&lt;'Data Entry'!$B$13,BH$2='Data Entry'!$C$98),'Data Entry'!$B$98,0)</f>
        <v>0</v>
      </c>
      <c r="BI60" s="549">
        <f>IF(AND(BI$3&lt;'Data Entry'!$B$13,BI$2='Data Entry'!$C$98),'Data Entry'!$B$98,0)</f>
        <v>0</v>
      </c>
      <c r="BJ60" s="549">
        <f>IF(AND(BJ$3&lt;'Data Entry'!$B$13,BJ$2='Data Entry'!$C$98),'Data Entry'!$B$98,0)</f>
        <v>0</v>
      </c>
      <c r="BK60" s="553">
        <f>IF(AND(BK$3&lt;'Data Entry'!$B$13,BK$2='Data Entry'!$C$98),'Data Entry'!$B$98,0)</f>
        <v>0</v>
      </c>
      <c r="BL60" s="549">
        <f>IF(AND(BL$3&lt;'Data Entry'!$B$13,BL$2='Data Entry'!$C$98),'Data Entry'!$B$98,0)</f>
        <v>0</v>
      </c>
      <c r="BM60" s="549">
        <f>IF(AND(BM$3&lt;'Data Entry'!$B$13,BM$2='Data Entry'!$C$98),'Data Entry'!$B$98,0)</f>
        <v>0</v>
      </c>
      <c r="BN60" s="549">
        <f>IF(AND(BN$3&lt;'Data Entry'!$B$13,BN$2='Data Entry'!$C$98),'Data Entry'!$B$98,0)</f>
        <v>0</v>
      </c>
      <c r="BO60" s="549">
        <f>IF(AND(BO$3&lt;'Data Entry'!$B$13,BO$2='Data Entry'!$C$98),'Data Entry'!$B$98,0)</f>
        <v>0</v>
      </c>
      <c r="BP60" s="549">
        <f>IF(AND(BP$3&lt;'Data Entry'!$B$13,BP$2='Data Entry'!$C$98),'Data Entry'!$B$98,0)</f>
        <v>0</v>
      </c>
      <c r="BQ60" s="549">
        <f>IF(AND(BQ$3&lt;'Data Entry'!$B$13,BQ$2='Data Entry'!$C$98),'Data Entry'!$B$98,0)</f>
        <v>0</v>
      </c>
      <c r="BR60" s="549">
        <f>IF(AND(BR$3&lt;'Data Entry'!$B$13,BR$2='Data Entry'!$C$98),'Data Entry'!$B$98,0)</f>
        <v>0</v>
      </c>
      <c r="BS60" s="549">
        <f>IF(AND(BS$3&lt;'Data Entry'!$B$13,BS$2='Data Entry'!$C$98),'Data Entry'!$B$98,0)</f>
        <v>0</v>
      </c>
      <c r="BT60" s="549">
        <f>IF(AND(BT$3&lt;'Data Entry'!$B$13,BT$2='Data Entry'!$C$98),'Data Entry'!$B$98,0)</f>
        <v>0</v>
      </c>
      <c r="BU60" s="549">
        <f>IF(AND(BU$3&lt;'Data Entry'!$B$13,BU$2='Data Entry'!$C$98),'Data Entry'!$B$98,0)</f>
        <v>0</v>
      </c>
      <c r="BV60" s="549">
        <f>IF(AND(BV$3&lt;'Data Entry'!$B$13,BV$2='Data Entry'!$C$98),'Data Entry'!$B$98,0)</f>
        <v>0</v>
      </c>
      <c r="BW60" s="549">
        <f>IF(AND(BW$3&lt;'Data Entry'!$B$13,BW$2='Data Entry'!$C$98),'Data Entry'!$B$98,0)</f>
        <v>0</v>
      </c>
      <c r="BX60" s="549">
        <f>IF(AND(BX$3&lt;'Data Entry'!$B$13,BX$2='Data Entry'!$C$98),'Data Entry'!$B$98,0)</f>
        <v>0</v>
      </c>
      <c r="BY60" s="549">
        <f>IF(AND(BY$3&lt;'Data Entry'!$B$13,BY$2='Data Entry'!$C$98),'Data Entry'!$B$98,0)</f>
        <v>0</v>
      </c>
      <c r="BZ60" s="549">
        <f>IF(AND(BZ$3&lt;'Data Entry'!$B$13,BZ$2='Data Entry'!$C$98),'Data Entry'!$B$98,0)</f>
        <v>0</v>
      </c>
      <c r="CA60" s="553">
        <f>IF(AND(CA$3&lt;'Data Entry'!$B$13,CA$2='Data Entry'!$C$98),'Data Entry'!$B$98,0)</f>
        <v>0</v>
      </c>
      <c r="CB60" s="549">
        <f>IF(AND(CB$3&lt;'Data Entry'!$B$13,CB$2='Data Entry'!$C$98),'Data Entry'!$B$98,0)</f>
        <v>0</v>
      </c>
      <c r="CC60" s="549">
        <f>IF(AND(CC$3&lt;'Data Entry'!$B$13,CC$2='Data Entry'!$C$98),'Data Entry'!$B$98,0)</f>
        <v>0</v>
      </c>
      <c r="CD60" s="549">
        <f>IF(AND(CD$3&lt;'Data Entry'!$B$13,CD$2='Data Entry'!$C$98),'Data Entry'!$B$98,0)</f>
        <v>0</v>
      </c>
      <c r="CE60" s="549">
        <f>IF(AND(CE$3&lt;'Data Entry'!$B$13,CE$2='Data Entry'!$C$98),'Data Entry'!$B$98,0)</f>
        <v>0</v>
      </c>
      <c r="CF60" s="549">
        <f>IF(AND(CF$3&lt;'Data Entry'!$B$13,CF$2='Data Entry'!$C$98),'Data Entry'!$B$98,0)</f>
        <v>0</v>
      </c>
      <c r="CG60" s="549">
        <f>IF(AND(CG$3&lt;'Data Entry'!$B$13,CG$2='Data Entry'!$C$98),'Data Entry'!$B$98,0)</f>
        <v>0</v>
      </c>
      <c r="CH60" s="549">
        <f>IF(AND(CH$3&lt;'Data Entry'!$B$13,CH$2='Data Entry'!$C$98),'Data Entry'!$B$98,0)</f>
        <v>0</v>
      </c>
      <c r="CI60" s="549">
        <f>IF(AND(CI$3&lt;'Data Entry'!$B$13,CI$2='Data Entry'!$C$98),'Data Entry'!$B$98,0)</f>
        <v>0</v>
      </c>
      <c r="CJ60" s="549">
        <f>IF(AND(CJ$3&lt;'Data Entry'!$B$13,CJ$2='Data Entry'!$C$98),'Data Entry'!$B$98,0)</f>
        <v>0</v>
      </c>
      <c r="CK60" s="549">
        <f>IF(AND(CK$3&lt;'Data Entry'!$B$13,CK$2='Data Entry'!$C$98),'Data Entry'!$B$98,0)</f>
        <v>0</v>
      </c>
      <c r="CL60" s="549">
        <f>IF(AND(CL$3&lt;'Data Entry'!$B$13,CL$2='Data Entry'!$C$98),'Data Entry'!$B$98,0)</f>
        <v>0</v>
      </c>
      <c r="CM60" s="549">
        <f>IF(AND(CM$3&lt;'Data Entry'!$B$13,CM$2='Data Entry'!$C$98),'Data Entry'!$B$98,0)</f>
        <v>0</v>
      </c>
      <c r="CN60" s="549">
        <f>IF(AND(CN$3&lt;'Data Entry'!$B$13,CN$2='Data Entry'!$C$98),'Data Entry'!$B$98,0)</f>
        <v>0</v>
      </c>
      <c r="CO60" s="549">
        <f>IF(AND(CO$3&lt;'Data Entry'!$B$13,CO$2='Data Entry'!$C$98),'Data Entry'!$B$98,0)</f>
        <v>0</v>
      </c>
      <c r="CP60" s="549">
        <f>IF(AND(CP$3&lt;'Data Entry'!$B$13,CP$2='Data Entry'!$C$98),'Data Entry'!$B$98,0)</f>
        <v>0</v>
      </c>
      <c r="CQ60" s="549">
        <f>IF(AND(CQ$3&lt;'Data Entry'!$B$13,CQ$2='Data Entry'!$C$98),'Data Entry'!$B$98,0)</f>
        <v>0</v>
      </c>
      <c r="CR60" s="549">
        <f>IF(AND(CR$3&lt;'Data Entry'!$B$13,CR$2='Data Entry'!$C$98),'Data Entry'!$B$98,0)</f>
        <v>0</v>
      </c>
      <c r="CS60" s="549">
        <f>IF(AND(CS$3&lt;'Data Entry'!$B$13,CS$2='Data Entry'!$C$98),'Data Entry'!$B$98,0)</f>
        <v>0</v>
      </c>
      <c r="CT60" s="549">
        <f>IF(AND(CT$3&lt;'Data Entry'!$B$13,CT$2='Data Entry'!$C$98),'Data Entry'!$B$98,0)</f>
        <v>0</v>
      </c>
      <c r="CU60" s="549">
        <f>IF(AND(CU$3&lt;'Data Entry'!$B$13,CU$2='Data Entry'!$C$98),'Data Entry'!$B$98,0)</f>
        <v>0</v>
      </c>
      <c r="CV60" s="549">
        <f>IF(AND(CV$3&lt;'Data Entry'!$B$13,CV$2='Data Entry'!$C$98),'Data Entry'!$B$98,0)</f>
        <v>0</v>
      </c>
      <c r="CW60" s="549">
        <f>IF(AND(CW$3&lt;'Data Entry'!$B$13,CW$2='Data Entry'!$C$98),'Data Entry'!$B$98,0)</f>
        <v>0</v>
      </c>
      <c r="CX60" s="549">
        <f>IF(AND(CX$3&lt;'Data Entry'!$B$13,CX$2='Data Entry'!$C$98),'Data Entry'!$B$98,0)</f>
        <v>0</v>
      </c>
      <c r="CY60" s="562">
        <f>IF(AND(CY$3&lt;'Data Entry'!$B$13,CY$2='Data Entry'!$C$98),'Data Entry'!$B$98,0)</f>
        <v>0</v>
      </c>
    </row>
    <row r="61" spans="1:103" ht="15" customHeight="1" thickBot="1" x14ac:dyDescent="0.35">
      <c r="A61" s="696" t="s">
        <v>2</v>
      </c>
      <c r="B61" s="697"/>
      <c r="C61" s="715">
        <f t="shared" ref="C61:AH61" si="19">SUM(C51:C60)</f>
        <v>0</v>
      </c>
      <c r="D61" s="699">
        <f t="shared" si="19"/>
        <v>0</v>
      </c>
      <c r="E61" s="699">
        <f t="shared" si="19"/>
        <v>0</v>
      </c>
      <c r="F61" s="699">
        <f t="shared" si="19"/>
        <v>0</v>
      </c>
      <c r="G61" s="699">
        <f t="shared" si="19"/>
        <v>0</v>
      </c>
      <c r="H61" s="699">
        <f t="shared" si="19"/>
        <v>0</v>
      </c>
      <c r="I61" s="699">
        <f t="shared" si="19"/>
        <v>0</v>
      </c>
      <c r="J61" s="699">
        <f t="shared" si="19"/>
        <v>0</v>
      </c>
      <c r="K61" s="699">
        <f t="shared" si="19"/>
        <v>0</v>
      </c>
      <c r="L61" s="699">
        <f t="shared" si="19"/>
        <v>0</v>
      </c>
      <c r="M61" s="699">
        <f t="shared" si="19"/>
        <v>0</v>
      </c>
      <c r="N61" s="699">
        <f t="shared" si="19"/>
        <v>0</v>
      </c>
      <c r="O61" s="699">
        <f t="shared" si="19"/>
        <v>0</v>
      </c>
      <c r="P61" s="699">
        <f t="shared" si="19"/>
        <v>0</v>
      </c>
      <c r="Q61" s="699">
        <f t="shared" si="19"/>
        <v>0</v>
      </c>
      <c r="R61" s="699">
        <f t="shared" si="19"/>
        <v>0</v>
      </c>
      <c r="S61" s="699">
        <f t="shared" si="19"/>
        <v>0</v>
      </c>
      <c r="T61" s="699">
        <f t="shared" si="19"/>
        <v>0</v>
      </c>
      <c r="U61" s="699">
        <f t="shared" si="19"/>
        <v>0</v>
      </c>
      <c r="V61" s="699">
        <f t="shared" si="19"/>
        <v>0</v>
      </c>
      <c r="W61" s="699">
        <f t="shared" si="19"/>
        <v>0</v>
      </c>
      <c r="X61" s="699">
        <f t="shared" si="19"/>
        <v>0</v>
      </c>
      <c r="Y61" s="699">
        <f t="shared" si="19"/>
        <v>0</v>
      </c>
      <c r="Z61" s="699">
        <f t="shared" si="19"/>
        <v>0</v>
      </c>
      <c r="AA61" s="699">
        <f t="shared" si="19"/>
        <v>0</v>
      </c>
      <c r="AB61" s="699">
        <f t="shared" si="19"/>
        <v>0</v>
      </c>
      <c r="AC61" s="699">
        <f t="shared" si="19"/>
        <v>0</v>
      </c>
      <c r="AD61" s="699">
        <f t="shared" si="19"/>
        <v>0</v>
      </c>
      <c r="AE61" s="699">
        <f t="shared" si="19"/>
        <v>0</v>
      </c>
      <c r="AF61" s="699">
        <f t="shared" si="19"/>
        <v>0</v>
      </c>
      <c r="AG61" s="699">
        <f t="shared" si="19"/>
        <v>0</v>
      </c>
      <c r="AH61" s="699">
        <f t="shared" si="19"/>
        <v>0</v>
      </c>
      <c r="AI61" s="699">
        <f t="shared" ref="AI61:BN61" si="20">SUM(AI51:AI60)</f>
        <v>0</v>
      </c>
      <c r="AJ61" s="699">
        <f t="shared" si="20"/>
        <v>0</v>
      </c>
      <c r="AK61" s="699">
        <f t="shared" si="20"/>
        <v>0</v>
      </c>
      <c r="AL61" s="699">
        <f t="shared" si="20"/>
        <v>0</v>
      </c>
      <c r="AM61" s="699">
        <f t="shared" si="20"/>
        <v>0</v>
      </c>
      <c r="AN61" s="699">
        <f t="shared" si="20"/>
        <v>0</v>
      </c>
      <c r="AO61" s="700">
        <f t="shared" si="20"/>
        <v>0</v>
      </c>
      <c r="AP61" s="699">
        <f t="shared" si="20"/>
        <v>0</v>
      </c>
      <c r="AQ61" s="699">
        <f t="shared" si="20"/>
        <v>0</v>
      </c>
      <c r="AR61" s="699">
        <f t="shared" si="20"/>
        <v>0</v>
      </c>
      <c r="AS61" s="699">
        <f t="shared" si="20"/>
        <v>0</v>
      </c>
      <c r="AT61" s="699">
        <f t="shared" si="20"/>
        <v>0</v>
      </c>
      <c r="AU61" s="699">
        <f t="shared" si="20"/>
        <v>0</v>
      </c>
      <c r="AV61" s="699">
        <f t="shared" si="20"/>
        <v>0</v>
      </c>
      <c r="AW61" s="699">
        <f t="shared" si="20"/>
        <v>0</v>
      </c>
      <c r="AX61" s="699">
        <f t="shared" si="20"/>
        <v>0</v>
      </c>
      <c r="AY61" s="699">
        <f t="shared" si="20"/>
        <v>0</v>
      </c>
      <c r="AZ61" s="699">
        <f t="shared" si="20"/>
        <v>0</v>
      </c>
      <c r="BA61" s="699">
        <f t="shared" si="20"/>
        <v>0</v>
      </c>
      <c r="BB61" s="699">
        <f t="shared" si="20"/>
        <v>0</v>
      </c>
      <c r="BC61" s="699">
        <f t="shared" si="20"/>
        <v>0</v>
      </c>
      <c r="BD61" s="699">
        <f t="shared" si="20"/>
        <v>0</v>
      </c>
      <c r="BE61" s="699">
        <f t="shared" si="20"/>
        <v>0</v>
      </c>
      <c r="BF61" s="699">
        <f t="shared" si="20"/>
        <v>0</v>
      </c>
      <c r="BG61" s="699">
        <f t="shared" si="20"/>
        <v>0</v>
      </c>
      <c r="BH61" s="699">
        <f t="shared" si="20"/>
        <v>0</v>
      </c>
      <c r="BI61" s="699">
        <f t="shared" si="20"/>
        <v>0</v>
      </c>
      <c r="BJ61" s="699">
        <f t="shared" si="20"/>
        <v>0</v>
      </c>
      <c r="BK61" s="700">
        <f t="shared" si="20"/>
        <v>0</v>
      </c>
      <c r="BL61" s="699">
        <f t="shared" si="20"/>
        <v>0</v>
      </c>
      <c r="BM61" s="699">
        <f t="shared" si="20"/>
        <v>0</v>
      </c>
      <c r="BN61" s="699">
        <f t="shared" si="20"/>
        <v>0</v>
      </c>
      <c r="BO61" s="699">
        <f t="shared" ref="BO61:CT61" si="21">SUM(BO51:BO60)</f>
        <v>0</v>
      </c>
      <c r="BP61" s="699">
        <f t="shared" si="21"/>
        <v>0</v>
      </c>
      <c r="BQ61" s="699">
        <f t="shared" si="21"/>
        <v>0</v>
      </c>
      <c r="BR61" s="699">
        <f t="shared" si="21"/>
        <v>0</v>
      </c>
      <c r="BS61" s="699">
        <f t="shared" si="21"/>
        <v>0</v>
      </c>
      <c r="BT61" s="699">
        <f t="shared" si="21"/>
        <v>0</v>
      </c>
      <c r="BU61" s="699">
        <f t="shared" si="21"/>
        <v>0</v>
      </c>
      <c r="BV61" s="699">
        <f t="shared" si="21"/>
        <v>0</v>
      </c>
      <c r="BW61" s="699">
        <f t="shared" si="21"/>
        <v>0</v>
      </c>
      <c r="BX61" s="699">
        <f t="shared" si="21"/>
        <v>0</v>
      </c>
      <c r="BY61" s="699">
        <f t="shared" si="21"/>
        <v>0</v>
      </c>
      <c r="BZ61" s="699">
        <f t="shared" si="21"/>
        <v>0</v>
      </c>
      <c r="CA61" s="700">
        <f t="shared" si="21"/>
        <v>0</v>
      </c>
      <c r="CB61" s="699">
        <f t="shared" si="21"/>
        <v>0</v>
      </c>
      <c r="CC61" s="699">
        <f t="shared" si="21"/>
        <v>0</v>
      </c>
      <c r="CD61" s="699">
        <f t="shared" si="21"/>
        <v>0</v>
      </c>
      <c r="CE61" s="699">
        <f t="shared" si="21"/>
        <v>0</v>
      </c>
      <c r="CF61" s="699">
        <f t="shared" si="21"/>
        <v>0</v>
      </c>
      <c r="CG61" s="699">
        <f t="shared" si="21"/>
        <v>0</v>
      </c>
      <c r="CH61" s="699">
        <f t="shared" si="21"/>
        <v>0</v>
      </c>
      <c r="CI61" s="699">
        <f t="shared" si="21"/>
        <v>0</v>
      </c>
      <c r="CJ61" s="699">
        <f t="shared" si="21"/>
        <v>0</v>
      </c>
      <c r="CK61" s="699">
        <f t="shared" si="21"/>
        <v>0</v>
      </c>
      <c r="CL61" s="699">
        <f t="shared" si="21"/>
        <v>0</v>
      </c>
      <c r="CM61" s="699">
        <f t="shared" si="21"/>
        <v>0</v>
      </c>
      <c r="CN61" s="699">
        <f t="shared" si="21"/>
        <v>0</v>
      </c>
      <c r="CO61" s="699">
        <f t="shared" si="21"/>
        <v>0</v>
      </c>
      <c r="CP61" s="699">
        <f t="shared" si="21"/>
        <v>0</v>
      </c>
      <c r="CQ61" s="699">
        <f t="shared" si="21"/>
        <v>0</v>
      </c>
      <c r="CR61" s="699">
        <f t="shared" si="21"/>
        <v>0</v>
      </c>
      <c r="CS61" s="699">
        <f t="shared" si="21"/>
        <v>0</v>
      </c>
      <c r="CT61" s="699">
        <f t="shared" si="21"/>
        <v>0</v>
      </c>
      <c r="CU61" s="699">
        <f t="shared" ref="CU61:CY61" si="22">SUM(CU51:CU60)</f>
        <v>0</v>
      </c>
      <c r="CV61" s="699">
        <f t="shared" si="22"/>
        <v>0</v>
      </c>
      <c r="CW61" s="699">
        <f t="shared" si="22"/>
        <v>0</v>
      </c>
      <c r="CX61" s="699">
        <f t="shared" si="22"/>
        <v>0</v>
      </c>
      <c r="CY61" s="701">
        <f t="shared" si="22"/>
        <v>0</v>
      </c>
    </row>
    <row r="62" spans="1:103" s="19" customFormat="1" ht="15" customHeight="1" thickTop="1" thickBot="1" x14ac:dyDescent="0.35">
      <c r="A62" s="716" t="s">
        <v>5</v>
      </c>
      <c r="B62" s="717"/>
      <c r="C62" s="718">
        <f t="shared" ref="C62:AH62" si="23">SUM(C50,C61)</f>
        <v>0</v>
      </c>
      <c r="D62" s="719">
        <f>SUM(D50,D61)</f>
        <v>0</v>
      </c>
      <c r="E62" s="719">
        <f t="shared" si="23"/>
        <v>0</v>
      </c>
      <c r="F62" s="719">
        <f t="shared" si="23"/>
        <v>0</v>
      </c>
      <c r="G62" s="719">
        <f t="shared" si="23"/>
        <v>0</v>
      </c>
      <c r="H62" s="719">
        <f t="shared" si="23"/>
        <v>0</v>
      </c>
      <c r="I62" s="719">
        <f t="shared" si="23"/>
        <v>0</v>
      </c>
      <c r="J62" s="719">
        <f t="shared" si="23"/>
        <v>0</v>
      </c>
      <c r="K62" s="719">
        <f t="shared" si="23"/>
        <v>0</v>
      </c>
      <c r="L62" s="719">
        <f t="shared" si="23"/>
        <v>0</v>
      </c>
      <c r="M62" s="719">
        <f t="shared" si="23"/>
        <v>0</v>
      </c>
      <c r="N62" s="719">
        <f t="shared" si="23"/>
        <v>0</v>
      </c>
      <c r="O62" s="719">
        <f t="shared" si="23"/>
        <v>0</v>
      </c>
      <c r="P62" s="719">
        <f t="shared" si="23"/>
        <v>0</v>
      </c>
      <c r="Q62" s="719">
        <f t="shared" si="23"/>
        <v>0</v>
      </c>
      <c r="R62" s="719">
        <f t="shared" si="23"/>
        <v>0</v>
      </c>
      <c r="S62" s="719">
        <f t="shared" si="23"/>
        <v>0</v>
      </c>
      <c r="T62" s="719">
        <f t="shared" si="23"/>
        <v>0</v>
      </c>
      <c r="U62" s="719">
        <f t="shared" si="23"/>
        <v>0</v>
      </c>
      <c r="V62" s="719">
        <f t="shared" si="23"/>
        <v>0</v>
      </c>
      <c r="W62" s="719">
        <f t="shared" si="23"/>
        <v>0</v>
      </c>
      <c r="X62" s="719">
        <f t="shared" si="23"/>
        <v>0</v>
      </c>
      <c r="Y62" s="719">
        <f t="shared" si="23"/>
        <v>0</v>
      </c>
      <c r="Z62" s="719">
        <f t="shared" si="23"/>
        <v>0</v>
      </c>
      <c r="AA62" s="719">
        <f t="shared" si="23"/>
        <v>0</v>
      </c>
      <c r="AB62" s="719">
        <f t="shared" si="23"/>
        <v>0</v>
      </c>
      <c r="AC62" s="719">
        <f t="shared" si="23"/>
        <v>0</v>
      </c>
      <c r="AD62" s="719">
        <f t="shared" si="23"/>
        <v>0</v>
      </c>
      <c r="AE62" s="719">
        <f t="shared" si="23"/>
        <v>0</v>
      </c>
      <c r="AF62" s="719">
        <f t="shared" si="23"/>
        <v>0</v>
      </c>
      <c r="AG62" s="719">
        <f t="shared" si="23"/>
        <v>0</v>
      </c>
      <c r="AH62" s="719">
        <f t="shared" si="23"/>
        <v>0</v>
      </c>
      <c r="AI62" s="719">
        <f t="shared" ref="AI62:BN62" si="24">SUM(AI50,AI61)</f>
        <v>0</v>
      </c>
      <c r="AJ62" s="719">
        <f t="shared" si="24"/>
        <v>0</v>
      </c>
      <c r="AK62" s="719">
        <f t="shared" si="24"/>
        <v>0</v>
      </c>
      <c r="AL62" s="719">
        <f t="shared" si="24"/>
        <v>0</v>
      </c>
      <c r="AM62" s="719">
        <f t="shared" si="24"/>
        <v>0</v>
      </c>
      <c r="AN62" s="719">
        <f t="shared" si="24"/>
        <v>0</v>
      </c>
      <c r="AO62" s="720">
        <f t="shared" si="24"/>
        <v>0</v>
      </c>
      <c r="AP62" s="719">
        <f t="shared" si="24"/>
        <v>0</v>
      </c>
      <c r="AQ62" s="719">
        <f t="shared" si="24"/>
        <v>0</v>
      </c>
      <c r="AR62" s="719">
        <f t="shared" si="24"/>
        <v>0</v>
      </c>
      <c r="AS62" s="719">
        <f t="shared" si="24"/>
        <v>0</v>
      </c>
      <c r="AT62" s="719">
        <f t="shared" si="24"/>
        <v>0</v>
      </c>
      <c r="AU62" s="719">
        <f t="shared" si="24"/>
        <v>0</v>
      </c>
      <c r="AV62" s="719">
        <f t="shared" si="24"/>
        <v>0</v>
      </c>
      <c r="AW62" s="719">
        <f t="shared" si="24"/>
        <v>0</v>
      </c>
      <c r="AX62" s="719">
        <f t="shared" si="24"/>
        <v>0</v>
      </c>
      <c r="AY62" s="719">
        <f t="shared" si="24"/>
        <v>0</v>
      </c>
      <c r="AZ62" s="719">
        <f t="shared" si="24"/>
        <v>0</v>
      </c>
      <c r="BA62" s="719">
        <f t="shared" si="24"/>
        <v>0</v>
      </c>
      <c r="BB62" s="719">
        <f t="shared" si="24"/>
        <v>0</v>
      </c>
      <c r="BC62" s="719">
        <f t="shared" si="24"/>
        <v>0</v>
      </c>
      <c r="BD62" s="719">
        <f t="shared" si="24"/>
        <v>0</v>
      </c>
      <c r="BE62" s="719">
        <f t="shared" si="24"/>
        <v>0</v>
      </c>
      <c r="BF62" s="719">
        <f t="shared" si="24"/>
        <v>0</v>
      </c>
      <c r="BG62" s="719">
        <f t="shared" si="24"/>
        <v>0</v>
      </c>
      <c r="BH62" s="719">
        <f t="shared" si="24"/>
        <v>0</v>
      </c>
      <c r="BI62" s="719">
        <f t="shared" si="24"/>
        <v>0</v>
      </c>
      <c r="BJ62" s="719">
        <f t="shared" si="24"/>
        <v>0</v>
      </c>
      <c r="BK62" s="720">
        <f t="shared" si="24"/>
        <v>0</v>
      </c>
      <c r="BL62" s="719">
        <f t="shared" si="24"/>
        <v>0</v>
      </c>
      <c r="BM62" s="719">
        <f t="shared" si="24"/>
        <v>0</v>
      </c>
      <c r="BN62" s="719">
        <f t="shared" si="24"/>
        <v>0</v>
      </c>
      <c r="BO62" s="719">
        <f t="shared" ref="BO62:CT62" si="25">SUM(BO50,BO61)</f>
        <v>0</v>
      </c>
      <c r="BP62" s="719">
        <f t="shared" si="25"/>
        <v>0</v>
      </c>
      <c r="BQ62" s="719">
        <f t="shared" si="25"/>
        <v>0</v>
      </c>
      <c r="BR62" s="719">
        <f t="shared" si="25"/>
        <v>0</v>
      </c>
      <c r="BS62" s="719">
        <f t="shared" si="25"/>
        <v>0</v>
      </c>
      <c r="BT62" s="719">
        <f t="shared" si="25"/>
        <v>0</v>
      </c>
      <c r="BU62" s="719">
        <f t="shared" si="25"/>
        <v>0</v>
      </c>
      <c r="BV62" s="719">
        <f t="shared" si="25"/>
        <v>0</v>
      </c>
      <c r="BW62" s="719">
        <f t="shared" si="25"/>
        <v>0</v>
      </c>
      <c r="BX62" s="719">
        <f t="shared" si="25"/>
        <v>0</v>
      </c>
      <c r="BY62" s="719">
        <f t="shared" si="25"/>
        <v>0</v>
      </c>
      <c r="BZ62" s="719">
        <f t="shared" si="25"/>
        <v>0</v>
      </c>
      <c r="CA62" s="720">
        <f t="shared" si="25"/>
        <v>0</v>
      </c>
      <c r="CB62" s="719">
        <f t="shared" si="25"/>
        <v>0</v>
      </c>
      <c r="CC62" s="719">
        <f t="shared" si="25"/>
        <v>0</v>
      </c>
      <c r="CD62" s="719">
        <f t="shared" si="25"/>
        <v>0</v>
      </c>
      <c r="CE62" s="719">
        <f t="shared" si="25"/>
        <v>0</v>
      </c>
      <c r="CF62" s="719">
        <f t="shared" si="25"/>
        <v>0</v>
      </c>
      <c r="CG62" s="719">
        <f t="shared" si="25"/>
        <v>0</v>
      </c>
      <c r="CH62" s="719">
        <f t="shared" si="25"/>
        <v>0</v>
      </c>
      <c r="CI62" s="719">
        <f t="shared" si="25"/>
        <v>0</v>
      </c>
      <c r="CJ62" s="719">
        <f t="shared" si="25"/>
        <v>0</v>
      </c>
      <c r="CK62" s="719">
        <f t="shared" si="25"/>
        <v>0</v>
      </c>
      <c r="CL62" s="719">
        <f t="shared" si="25"/>
        <v>0</v>
      </c>
      <c r="CM62" s="719">
        <f t="shared" si="25"/>
        <v>0</v>
      </c>
      <c r="CN62" s="719">
        <f t="shared" si="25"/>
        <v>0</v>
      </c>
      <c r="CO62" s="719">
        <f t="shared" si="25"/>
        <v>0</v>
      </c>
      <c r="CP62" s="719">
        <f t="shared" si="25"/>
        <v>0</v>
      </c>
      <c r="CQ62" s="719">
        <f t="shared" si="25"/>
        <v>0</v>
      </c>
      <c r="CR62" s="719">
        <f t="shared" si="25"/>
        <v>0</v>
      </c>
      <c r="CS62" s="719">
        <f t="shared" si="25"/>
        <v>0</v>
      </c>
      <c r="CT62" s="719">
        <f t="shared" si="25"/>
        <v>0</v>
      </c>
      <c r="CU62" s="719">
        <f t="shared" ref="CU62:CY62" si="26">SUM(CU50,CU61)</f>
        <v>0</v>
      </c>
      <c r="CV62" s="719">
        <f t="shared" si="26"/>
        <v>0</v>
      </c>
      <c r="CW62" s="719">
        <f t="shared" si="26"/>
        <v>0</v>
      </c>
      <c r="CX62" s="719">
        <f t="shared" si="26"/>
        <v>0</v>
      </c>
      <c r="CY62" s="721">
        <f t="shared" si="26"/>
        <v>0</v>
      </c>
    </row>
    <row r="63" spans="1:103" ht="15" customHeight="1" x14ac:dyDescent="0.3">
      <c r="A63" s="722"/>
      <c r="B63" s="723"/>
      <c r="C63" s="72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5"/>
      <c r="AP63" s="4"/>
      <c r="AQ63" s="4"/>
      <c r="AR63" s="4"/>
      <c r="AS63" s="4"/>
      <c r="AT63" s="4"/>
      <c r="AU63" s="4"/>
      <c r="AV63" s="4"/>
      <c r="AW63" s="4"/>
      <c r="AX63" s="4"/>
      <c r="AY63" s="4"/>
      <c r="AZ63" s="4"/>
      <c r="BA63" s="4"/>
      <c r="BB63" s="4"/>
      <c r="BC63" s="4"/>
      <c r="BD63" s="4"/>
      <c r="BE63" s="4"/>
      <c r="BF63" s="4"/>
      <c r="BG63" s="4"/>
      <c r="BH63" s="4"/>
      <c r="BI63" s="4"/>
      <c r="BJ63" s="4"/>
      <c r="BK63" s="45"/>
      <c r="BL63" s="4"/>
      <c r="BM63" s="4"/>
      <c r="BN63" s="4"/>
      <c r="BO63" s="4"/>
      <c r="BP63" s="4"/>
      <c r="BQ63" s="4"/>
      <c r="BR63" s="4"/>
      <c r="BS63" s="4"/>
      <c r="BT63" s="4"/>
      <c r="BU63" s="4"/>
      <c r="BV63" s="4"/>
      <c r="BW63" s="4"/>
      <c r="BX63" s="4"/>
      <c r="BY63" s="4"/>
      <c r="BZ63" s="4"/>
      <c r="CA63" s="45"/>
      <c r="CB63" s="4"/>
      <c r="CC63" s="4"/>
      <c r="CD63" s="4"/>
      <c r="CE63" s="4"/>
      <c r="CF63" s="4"/>
      <c r="CG63" s="4"/>
      <c r="CH63" s="4"/>
      <c r="CI63" s="4"/>
      <c r="CJ63" s="4"/>
      <c r="CK63" s="4"/>
      <c r="CL63" s="4"/>
      <c r="CM63" s="4"/>
      <c r="CN63" s="4"/>
      <c r="CO63" s="4"/>
      <c r="CP63" s="4"/>
      <c r="CQ63" s="4"/>
      <c r="CR63" s="4"/>
      <c r="CS63" s="4"/>
      <c r="CT63" s="4"/>
      <c r="CU63" s="4"/>
      <c r="CV63" s="4"/>
      <c r="CW63" s="4"/>
      <c r="CX63" s="4"/>
      <c r="CY63" s="576"/>
    </row>
    <row r="64" spans="1:103" ht="15" customHeight="1" x14ac:dyDescent="0.3">
      <c r="A64" s="725" t="s">
        <v>53</v>
      </c>
      <c r="B64" s="723"/>
      <c r="C64" s="72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5"/>
      <c r="AP64" s="4"/>
      <c r="AQ64" s="4"/>
      <c r="AR64" s="4"/>
      <c r="AS64" s="4"/>
      <c r="AT64" s="4"/>
      <c r="AU64" s="4"/>
      <c r="AV64" s="4"/>
      <c r="AW64" s="4"/>
      <c r="AX64" s="4"/>
      <c r="AY64" s="4"/>
      <c r="AZ64" s="4"/>
      <c r="BA64" s="4"/>
      <c r="BB64" s="4"/>
      <c r="BC64" s="4"/>
      <c r="BD64" s="4"/>
      <c r="BE64" s="4"/>
      <c r="BF64" s="4"/>
      <c r="BG64" s="4"/>
      <c r="BH64" s="4"/>
      <c r="BI64" s="4"/>
      <c r="BJ64" s="4"/>
      <c r="BK64" s="45"/>
      <c r="BL64" s="4"/>
      <c r="BM64" s="4"/>
      <c r="BN64" s="4"/>
      <c r="BO64" s="4"/>
      <c r="BP64" s="4"/>
      <c r="BQ64" s="4"/>
      <c r="BR64" s="4"/>
      <c r="BS64" s="4"/>
      <c r="BT64" s="4"/>
      <c r="BU64" s="4"/>
      <c r="BV64" s="4"/>
      <c r="BW64" s="4"/>
      <c r="BX64" s="4"/>
      <c r="BY64" s="4"/>
      <c r="BZ64" s="4"/>
      <c r="CA64" s="45"/>
      <c r="CB64" s="4"/>
      <c r="CC64" s="4"/>
      <c r="CD64" s="4"/>
      <c r="CE64" s="4"/>
      <c r="CF64" s="4"/>
      <c r="CG64" s="4"/>
      <c r="CH64" s="4"/>
      <c r="CI64" s="4"/>
      <c r="CJ64" s="4"/>
      <c r="CK64" s="4"/>
      <c r="CL64" s="4"/>
      <c r="CM64" s="4"/>
      <c r="CN64" s="4"/>
      <c r="CO64" s="4"/>
      <c r="CP64" s="4"/>
      <c r="CQ64" s="4"/>
      <c r="CR64" s="4"/>
      <c r="CS64" s="4"/>
      <c r="CT64" s="4"/>
      <c r="CU64" s="4"/>
      <c r="CV64" s="4"/>
      <c r="CW64" s="4"/>
      <c r="CX64" s="4"/>
      <c r="CY64" s="576"/>
    </row>
    <row r="65" spans="1:103" ht="15" customHeight="1" thickBot="1" x14ac:dyDescent="0.35">
      <c r="A65" s="722"/>
      <c r="B65" s="723"/>
      <c r="C65" s="72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5"/>
      <c r="AP65" s="4"/>
      <c r="AQ65" s="4"/>
      <c r="AR65" s="4"/>
      <c r="AS65" s="4"/>
      <c r="AT65" s="4"/>
      <c r="AU65" s="4"/>
      <c r="AV65" s="4"/>
      <c r="AW65" s="4"/>
      <c r="AX65" s="4"/>
      <c r="AY65" s="4"/>
      <c r="AZ65" s="4"/>
      <c r="BA65" s="4"/>
      <c r="BB65" s="4"/>
      <c r="BC65" s="4"/>
      <c r="BD65" s="4"/>
      <c r="BE65" s="4"/>
      <c r="BF65" s="4"/>
      <c r="BG65" s="4"/>
      <c r="BH65" s="4"/>
      <c r="BI65" s="4"/>
      <c r="BJ65" s="4"/>
      <c r="BK65" s="45"/>
      <c r="BL65" s="4"/>
      <c r="BM65" s="4"/>
      <c r="BN65" s="4"/>
      <c r="BO65" s="4"/>
      <c r="BP65" s="4"/>
      <c r="BQ65" s="4"/>
      <c r="BR65" s="4"/>
      <c r="BS65" s="4"/>
      <c r="BT65" s="4"/>
      <c r="BU65" s="4"/>
      <c r="BV65" s="4"/>
      <c r="BW65" s="4"/>
      <c r="BX65" s="4"/>
      <c r="BY65" s="4"/>
      <c r="BZ65" s="4"/>
      <c r="CA65" s="45"/>
      <c r="CB65" s="4"/>
      <c r="CC65" s="4"/>
      <c r="CD65" s="4"/>
      <c r="CE65" s="4"/>
      <c r="CF65" s="4"/>
      <c r="CG65" s="4"/>
      <c r="CH65" s="4"/>
      <c r="CI65" s="4"/>
      <c r="CJ65" s="4"/>
      <c r="CK65" s="4"/>
      <c r="CL65" s="4"/>
      <c r="CM65" s="4"/>
      <c r="CN65" s="4"/>
      <c r="CO65" s="4"/>
      <c r="CP65" s="4"/>
      <c r="CQ65" s="4"/>
      <c r="CR65" s="4"/>
      <c r="CS65" s="4"/>
      <c r="CT65" s="4"/>
      <c r="CU65" s="4"/>
      <c r="CV65" s="4"/>
      <c r="CW65" s="4"/>
      <c r="CX65" s="4"/>
      <c r="CY65" s="576"/>
    </row>
    <row r="66" spans="1:103" ht="15" customHeight="1" x14ac:dyDescent="0.3">
      <c r="A66" s="726" t="s">
        <v>41</v>
      </c>
      <c r="B66" s="727"/>
      <c r="C66" s="728">
        <f ca="1">SUM(D66:CY66)</f>
        <v>6112</v>
      </c>
      <c r="D66" s="32">
        <f t="shared" ref="D66:AI66" ca="1" si="27">D42</f>
        <v>6112</v>
      </c>
      <c r="E66" s="32">
        <f t="shared" ca="1" si="27"/>
        <v>0</v>
      </c>
      <c r="F66" s="32">
        <f t="shared" ca="1" si="27"/>
        <v>0</v>
      </c>
      <c r="G66" s="32">
        <f t="shared" ca="1" si="27"/>
        <v>0</v>
      </c>
      <c r="H66" s="32">
        <f t="shared" ca="1" si="27"/>
        <v>0</v>
      </c>
      <c r="I66" s="32">
        <f t="shared" ca="1" si="27"/>
        <v>0</v>
      </c>
      <c r="J66" s="32">
        <f t="shared" ca="1" si="27"/>
        <v>0</v>
      </c>
      <c r="K66" s="32">
        <f t="shared" ca="1" si="27"/>
        <v>0</v>
      </c>
      <c r="L66" s="32">
        <f t="shared" ca="1" si="27"/>
        <v>0</v>
      </c>
      <c r="M66" s="32">
        <f t="shared" ca="1" si="27"/>
        <v>0</v>
      </c>
      <c r="N66" s="32">
        <f t="shared" ca="1" si="27"/>
        <v>0</v>
      </c>
      <c r="O66" s="32">
        <f t="shared" ca="1" si="27"/>
        <v>0</v>
      </c>
      <c r="P66" s="32">
        <f t="shared" ca="1" si="27"/>
        <v>0</v>
      </c>
      <c r="Q66" s="32">
        <f t="shared" ca="1" si="27"/>
        <v>0</v>
      </c>
      <c r="R66" s="32">
        <f t="shared" ca="1" si="27"/>
        <v>0</v>
      </c>
      <c r="S66" s="32">
        <f t="shared" ca="1" si="27"/>
        <v>0</v>
      </c>
      <c r="T66" s="32">
        <f t="shared" ca="1" si="27"/>
        <v>0</v>
      </c>
      <c r="U66" s="32">
        <f t="shared" ca="1" si="27"/>
        <v>0</v>
      </c>
      <c r="V66" s="32">
        <f t="shared" ca="1" si="27"/>
        <v>0</v>
      </c>
      <c r="W66" s="32">
        <f t="shared" ca="1" si="27"/>
        <v>0</v>
      </c>
      <c r="X66" s="32">
        <f t="shared" ca="1" si="27"/>
        <v>0</v>
      </c>
      <c r="Y66" s="32">
        <f t="shared" ca="1" si="27"/>
        <v>0</v>
      </c>
      <c r="Z66" s="32">
        <f t="shared" ca="1" si="27"/>
        <v>0</v>
      </c>
      <c r="AA66" s="32">
        <f t="shared" ca="1" si="27"/>
        <v>0</v>
      </c>
      <c r="AB66" s="32">
        <f t="shared" ca="1" si="27"/>
        <v>0</v>
      </c>
      <c r="AC66" s="32">
        <f t="shared" ca="1" si="27"/>
        <v>0</v>
      </c>
      <c r="AD66" s="32">
        <f t="shared" ca="1" si="27"/>
        <v>0</v>
      </c>
      <c r="AE66" s="32">
        <f t="shared" ca="1" si="27"/>
        <v>0</v>
      </c>
      <c r="AF66" s="32">
        <f t="shared" ca="1" si="27"/>
        <v>0</v>
      </c>
      <c r="AG66" s="32">
        <f t="shared" ca="1" si="27"/>
        <v>0</v>
      </c>
      <c r="AH66" s="32">
        <f t="shared" ca="1" si="27"/>
        <v>0</v>
      </c>
      <c r="AI66" s="32">
        <f t="shared" ca="1" si="27"/>
        <v>0</v>
      </c>
      <c r="AJ66" s="32">
        <f t="shared" ref="AJ66:BO66" ca="1" si="28">AJ42</f>
        <v>0</v>
      </c>
      <c r="AK66" s="32">
        <f t="shared" ca="1" si="28"/>
        <v>0</v>
      </c>
      <c r="AL66" s="32">
        <f t="shared" ca="1" si="28"/>
        <v>0</v>
      </c>
      <c r="AM66" s="32">
        <f t="shared" ca="1" si="28"/>
        <v>0</v>
      </c>
      <c r="AN66" s="32">
        <f t="shared" ca="1" si="28"/>
        <v>0</v>
      </c>
      <c r="AO66" s="46">
        <f t="shared" ca="1" si="28"/>
        <v>0</v>
      </c>
      <c r="AP66" s="32">
        <f t="shared" ca="1" si="28"/>
        <v>0</v>
      </c>
      <c r="AQ66" s="32">
        <f t="shared" ca="1" si="28"/>
        <v>0</v>
      </c>
      <c r="AR66" s="32">
        <f t="shared" ca="1" si="28"/>
        <v>0</v>
      </c>
      <c r="AS66" s="32">
        <f t="shared" ca="1" si="28"/>
        <v>0</v>
      </c>
      <c r="AT66" s="32">
        <f t="shared" ca="1" si="28"/>
        <v>0</v>
      </c>
      <c r="AU66" s="32">
        <f t="shared" ca="1" si="28"/>
        <v>0</v>
      </c>
      <c r="AV66" s="32">
        <f t="shared" ca="1" si="28"/>
        <v>0</v>
      </c>
      <c r="AW66" s="32">
        <f t="shared" ca="1" si="28"/>
        <v>0</v>
      </c>
      <c r="AX66" s="32">
        <f t="shared" ca="1" si="28"/>
        <v>0</v>
      </c>
      <c r="AY66" s="32">
        <f t="shared" ca="1" si="28"/>
        <v>0</v>
      </c>
      <c r="AZ66" s="32">
        <f t="shared" ca="1" si="28"/>
        <v>0</v>
      </c>
      <c r="BA66" s="32">
        <f t="shared" ca="1" si="28"/>
        <v>0</v>
      </c>
      <c r="BB66" s="32">
        <f t="shared" ca="1" si="28"/>
        <v>0</v>
      </c>
      <c r="BC66" s="32">
        <f t="shared" ca="1" si="28"/>
        <v>0</v>
      </c>
      <c r="BD66" s="32">
        <f t="shared" ca="1" si="28"/>
        <v>0</v>
      </c>
      <c r="BE66" s="32">
        <f t="shared" ca="1" si="28"/>
        <v>0</v>
      </c>
      <c r="BF66" s="32">
        <f t="shared" ca="1" si="28"/>
        <v>0</v>
      </c>
      <c r="BG66" s="32">
        <f t="shared" ca="1" si="28"/>
        <v>0</v>
      </c>
      <c r="BH66" s="32">
        <f t="shared" ca="1" si="28"/>
        <v>0</v>
      </c>
      <c r="BI66" s="32">
        <f t="shared" ca="1" si="28"/>
        <v>0</v>
      </c>
      <c r="BJ66" s="32">
        <f t="shared" ca="1" si="28"/>
        <v>0</v>
      </c>
      <c r="BK66" s="46">
        <f t="shared" ca="1" si="28"/>
        <v>0</v>
      </c>
      <c r="BL66" s="32">
        <f t="shared" ca="1" si="28"/>
        <v>0</v>
      </c>
      <c r="BM66" s="32">
        <f t="shared" ca="1" si="28"/>
        <v>0</v>
      </c>
      <c r="BN66" s="32">
        <f t="shared" ca="1" si="28"/>
        <v>0</v>
      </c>
      <c r="BO66" s="32">
        <f t="shared" ca="1" si="28"/>
        <v>0</v>
      </c>
      <c r="BP66" s="32">
        <f t="shared" ref="BP66:CY66" ca="1" si="29">BP42</f>
        <v>0</v>
      </c>
      <c r="BQ66" s="32">
        <f t="shared" ca="1" si="29"/>
        <v>0</v>
      </c>
      <c r="BR66" s="32">
        <f t="shared" ca="1" si="29"/>
        <v>0</v>
      </c>
      <c r="BS66" s="32">
        <f t="shared" ca="1" si="29"/>
        <v>0</v>
      </c>
      <c r="BT66" s="32">
        <f t="shared" ca="1" si="29"/>
        <v>0</v>
      </c>
      <c r="BU66" s="32">
        <f t="shared" ca="1" si="29"/>
        <v>0</v>
      </c>
      <c r="BV66" s="32">
        <f t="shared" ca="1" si="29"/>
        <v>0</v>
      </c>
      <c r="BW66" s="32">
        <f t="shared" ca="1" si="29"/>
        <v>0</v>
      </c>
      <c r="BX66" s="32">
        <f t="shared" ca="1" si="29"/>
        <v>0</v>
      </c>
      <c r="BY66" s="32">
        <f t="shared" ca="1" si="29"/>
        <v>0</v>
      </c>
      <c r="BZ66" s="32">
        <f t="shared" ca="1" si="29"/>
        <v>0</v>
      </c>
      <c r="CA66" s="46">
        <f t="shared" ca="1" si="29"/>
        <v>0</v>
      </c>
      <c r="CB66" s="32">
        <f t="shared" ca="1" si="29"/>
        <v>0</v>
      </c>
      <c r="CC66" s="32">
        <f t="shared" ca="1" si="29"/>
        <v>0</v>
      </c>
      <c r="CD66" s="32">
        <f t="shared" ca="1" si="29"/>
        <v>0</v>
      </c>
      <c r="CE66" s="32">
        <f t="shared" ca="1" si="29"/>
        <v>0</v>
      </c>
      <c r="CF66" s="32">
        <f t="shared" ca="1" si="29"/>
        <v>0</v>
      </c>
      <c r="CG66" s="32">
        <f t="shared" ca="1" si="29"/>
        <v>0</v>
      </c>
      <c r="CH66" s="32">
        <f t="shared" ca="1" si="29"/>
        <v>0</v>
      </c>
      <c r="CI66" s="32">
        <f t="shared" ca="1" si="29"/>
        <v>0</v>
      </c>
      <c r="CJ66" s="32">
        <f t="shared" ca="1" si="29"/>
        <v>0</v>
      </c>
      <c r="CK66" s="32">
        <f t="shared" ca="1" si="29"/>
        <v>0</v>
      </c>
      <c r="CL66" s="32">
        <f t="shared" ca="1" si="29"/>
        <v>0</v>
      </c>
      <c r="CM66" s="32">
        <f t="shared" ca="1" si="29"/>
        <v>0</v>
      </c>
      <c r="CN66" s="32">
        <f t="shared" ca="1" si="29"/>
        <v>0</v>
      </c>
      <c r="CO66" s="32">
        <f t="shared" ca="1" si="29"/>
        <v>0</v>
      </c>
      <c r="CP66" s="32">
        <f t="shared" ca="1" si="29"/>
        <v>0</v>
      </c>
      <c r="CQ66" s="32">
        <f t="shared" ca="1" si="29"/>
        <v>0</v>
      </c>
      <c r="CR66" s="32">
        <f t="shared" ca="1" si="29"/>
        <v>0</v>
      </c>
      <c r="CS66" s="32">
        <f t="shared" ca="1" si="29"/>
        <v>0</v>
      </c>
      <c r="CT66" s="32">
        <f t="shared" ca="1" si="29"/>
        <v>0</v>
      </c>
      <c r="CU66" s="32">
        <f t="shared" ca="1" si="29"/>
        <v>0</v>
      </c>
      <c r="CV66" s="32">
        <f t="shared" ca="1" si="29"/>
        <v>0</v>
      </c>
      <c r="CW66" s="32">
        <f t="shared" ca="1" si="29"/>
        <v>0</v>
      </c>
      <c r="CX66" s="32">
        <f t="shared" ca="1" si="29"/>
        <v>0</v>
      </c>
      <c r="CY66" s="577">
        <f t="shared" ca="1" si="29"/>
        <v>0</v>
      </c>
    </row>
    <row r="67" spans="1:103" ht="15" customHeight="1" thickBot="1" x14ac:dyDescent="0.35">
      <c r="A67" s="729" t="s">
        <v>42</v>
      </c>
      <c r="B67" s="730"/>
      <c r="C67" s="731">
        <f ca="1">SUM(D67:CY67)</f>
        <v>1695</v>
      </c>
      <c r="D67" s="33">
        <f t="shared" ref="D67:AI67" ca="1" si="30">D42-D41</f>
        <v>1695</v>
      </c>
      <c r="E67" s="33">
        <f t="shared" ca="1" si="30"/>
        <v>0</v>
      </c>
      <c r="F67" s="33">
        <f t="shared" ca="1" si="30"/>
        <v>0</v>
      </c>
      <c r="G67" s="33">
        <f t="shared" ca="1" si="30"/>
        <v>0</v>
      </c>
      <c r="H67" s="33">
        <f t="shared" ca="1" si="30"/>
        <v>0</v>
      </c>
      <c r="I67" s="33">
        <f t="shared" ca="1" si="30"/>
        <v>0</v>
      </c>
      <c r="J67" s="33">
        <f t="shared" ca="1" si="30"/>
        <v>0</v>
      </c>
      <c r="K67" s="33">
        <f t="shared" ca="1" si="30"/>
        <v>0</v>
      </c>
      <c r="L67" s="33">
        <f t="shared" ca="1" si="30"/>
        <v>0</v>
      </c>
      <c r="M67" s="33">
        <f t="shared" ca="1" si="30"/>
        <v>0</v>
      </c>
      <c r="N67" s="33">
        <f t="shared" ca="1" si="30"/>
        <v>0</v>
      </c>
      <c r="O67" s="33">
        <f t="shared" ca="1" si="30"/>
        <v>0</v>
      </c>
      <c r="P67" s="33">
        <f t="shared" ca="1" si="30"/>
        <v>0</v>
      </c>
      <c r="Q67" s="33">
        <f t="shared" ca="1" si="30"/>
        <v>0</v>
      </c>
      <c r="R67" s="33">
        <f t="shared" ca="1" si="30"/>
        <v>0</v>
      </c>
      <c r="S67" s="33">
        <f t="shared" ca="1" si="30"/>
        <v>0</v>
      </c>
      <c r="T67" s="33">
        <f t="shared" ca="1" si="30"/>
        <v>0</v>
      </c>
      <c r="U67" s="33">
        <f t="shared" ca="1" si="30"/>
        <v>0</v>
      </c>
      <c r="V67" s="33">
        <f t="shared" ca="1" si="30"/>
        <v>0</v>
      </c>
      <c r="W67" s="33">
        <f t="shared" ca="1" si="30"/>
        <v>0</v>
      </c>
      <c r="X67" s="33">
        <f t="shared" ca="1" si="30"/>
        <v>0</v>
      </c>
      <c r="Y67" s="33">
        <f t="shared" ca="1" si="30"/>
        <v>0</v>
      </c>
      <c r="Z67" s="33">
        <f t="shared" ca="1" si="30"/>
        <v>0</v>
      </c>
      <c r="AA67" s="33">
        <f t="shared" ca="1" si="30"/>
        <v>0</v>
      </c>
      <c r="AB67" s="33">
        <f t="shared" ca="1" si="30"/>
        <v>0</v>
      </c>
      <c r="AC67" s="33">
        <f t="shared" ca="1" si="30"/>
        <v>0</v>
      </c>
      <c r="AD67" s="33">
        <f t="shared" ca="1" si="30"/>
        <v>0</v>
      </c>
      <c r="AE67" s="33">
        <f t="shared" ca="1" si="30"/>
        <v>0</v>
      </c>
      <c r="AF67" s="33">
        <f t="shared" ca="1" si="30"/>
        <v>0</v>
      </c>
      <c r="AG67" s="33">
        <f t="shared" ca="1" si="30"/>
        <v>0</v>
      </c>
      <c r="AH67" s="33">
        <f t="shared" ca="1" si="30"/>
        <v>0</v>
      </c>
      <c r="AI67" s="33">
        <f t="shared" ca="1" si="30"/>
        <v>0</v>
      </c>
      <c r="AJ67" s="33">
        <f t="shared" ref="AJ67:BO67" ca="1" si="31">AJ42-AJ41</f>
        <v>0</v>
      </c>
      <c r="AK67" s="33">
        <f t="shared" ca="1" si="31"/>
        <v>0</v>
      </c>
      <c r="AL67" s="33">
        <f t="shared" ca="1" si="31"/>
        <v>0</v>
      </c>
      <c r="AM67" s="33">
        <f t="shared" ca="1" si="31"/>
        <v>0</v>
      </c>
      <c r="AN67" s="33">
        <f t="shared" ca="1" si="31"/>
        <v>0</v>
      </c>
      <c r="AO67" s="47">
        <f t="shared" ca="1" si="31"/>
        <v>0</v>
      </c>
      <c r="AP67" s="33">
        <f t="shared" ca="1" si="31"/>
        <v>0</v>
      </c>
      <c r="AQ67" s="33">
        <f t="shared" ca="1" si="31"/>
        <v>0</v>
      </c>
      <c r="AR67" s="33">
        <f t="shared" ca="1" si="31"/>
        <v>0</v>
      </c>
      <c r="AS67" s="33">
        <f t="shared" ca="1" si="31"/>
        <v>0</v>
      </c>
      <c r="AT67" s="33">
        <f t="shared" ca="1" si="31"/>
        <v>0</v>
      </c>
      <c r="AU67" s="33">
        <f t="shared" ca="1" si="31"/>
        <v>0</v>
      </c>
      <c r="AV67" s="33">
        <f t="shared" ca="1" si="31"/>
        <v>0</v>
      </c>
      <c r="AW67" s="33">
        <f t="shared" ca="1" si="31"/>
        <v>0</v>
      </c>
      <c r="AX67" s="33">
        <f t="shared" ca="1" si="31"/>
        <v>0</v>
      </c>
      <c r="AY67" s="33">
        <f t="shared" ca="1" si="31"/>
        <v>0</v>
      </c>
      <c r="AZ67" s="33">
        <f t="shared" ca="1" si="31"/>
        <v>0</v>
      </c>
      <c r="BA67" s="33">
        <f t="shared" ca="1" si="31"/>
        <v>0</v>
      </c>
      <c r="BB67" s="33">
        <f t="shared" ca="1" si="31"/>
        <v>0</v>
      </c>
      <c r="BC67" s="33">
        <f t="shared" ca="1" si="31"/>
        <v>0</v>
      </c>
      <c r="BD67" s="33">
        <f t="shared" ca="1" si="31"/>
        <v>0</v>
      </c>
      <c r="BE67" s="33">
        <f t="shared" ca="1" si="31"/>
        <v>0</v>
      </c>
      <c r="BF67" s="33">
        <f t="shared" ca="1" si="31"/>
        <v>0</v>
      </c>
      <c r="BG67" s="33">
        <f t="shared" ca="1" si="31"/>
        <v>0</v>
      </c>
      <c r="BH67" s="33">
        <f t="shared" ca="1" si="31"/>
        <v>0</v>
      </c>
      <c r="BI67" s="33">
        <f t="shared" ca="1" si="31"/>
        <v>0</v>
      </c>
      <c r="BJ67" s="33">
        <f t="shared" ca="1" si="31"/>
        <v>0</v>
      </c>
      <c r="BK67" s="47">
        <f t="shared" ca="1" si="31"/>
        <v>0</v>
      </c>
      <c r="BL67" s="33">
        <f t="shared" ca="1" si="31"/>
        <v>0</v>
      </c>
      <c r="BM67" s="33">
        <f t="shared" ca="1" si="31"/>
        <v>0</v>
      </c>
      <c r="BN67" s="33">
        <f t="shared" ca="1" si="31"/>
        <v>0</v>
      </c>
      <c r="BO67" s="33">
        <f t="shared" ca="1" si="31"/>
        <v>0</v>
      </c>
      <c r="BP67" s="33">
        <f t="shared" ref="BP67:CY67" ca="1" si="32">BP42-BP41</f>
        <v>0</v>
      </c>
      <c r="BQ67" s="33">
        <f t="shared" ca="1" si="32"/>
        <v>0</v>
      </c>
      <c r="BR67" s="33">
        <f t="shared" ca="1" si="32"/>
        <v>0</v>
      </c>
      <c r="BS67" s="33">
        <f t="shared" ca="1" si="32"/>
        <v>0</v>
      </c>
      <c r="BT67" s="33">
        <f t="shared" ca="1" si="32"/>
        <v>0</v>
      </c>
      <c r="BU67" s="33">
        <f t="shared" ca="1" si="32"/>
        <v>0</v>
      </c>
      <c r="BV67" s="33">
        <f t="shared" ca="1" si="32"/>
        <v>0</v>
      </c>
      <c r="BW67" s="33">
        <f t="shared" ca="1" si="32"/>
        <v>0</v>
      </c>
      <c r="BX67" s="33">
        <f t="shared" ca="1" si="32"/>
        <v>0</v>
      </c>
      <c r="BY67" s="33">
        <f t="shared" ca="1" si="32"/>
        <v>0</v>
      </c>
      <c r="BZ67" s="33">
        <f t="shared" ca="1" si="32"/>
        <v>0</v>
      </c>
      <c r="CA67" s="47">
        <f t="shared" ca="1" si="32"/>
        <v>0</v>
      </c>
      <c r="CB67" s="33">
        <f t="shared" ca="1" si="32"/>
        <v>0</v>
      </c>
      <c r="CC67" s="33">
        <f t="shared" ca="1" si="32"/>
        <v>0</v>
      </c>
      <c r="CD67" s="33">
        <f t="shared" ca="1" si="32"/>
        <v>0</v>
      </c>
      <c r="CE67" s="33">
        <f t="shared" ca="1" si="32"/>
        <v>0</v>
      </c>
      <c r="CF67" s="33">
        <f t="shared" ca="1" si="32"/>
        <v>0</v>
      </c>
      <c r="CG67" s="33">
        <f t="shared" ca="1" si="32"/>
        <v>0</v>
      </c>
      <c r="CH67" s="33">
        <f t="shared" ca="1" si="32"/>
        <v>0</v>
      </c>
      <c r="CI67" s="33">
        <f t="shared" ca="1" si="32"/>
        <v>0</v>
      </c>
      <c r="CJ67" s="33">
        <f t="shared" ca="1" si="32"/>
        <v>0</v>
      </c>
      <c r="CK67" s="33">
        <f t="shared" ca="1" si="32"/>
        <v>0</v>
      </c>
      <c r="CL67" s="33">
        <f t="shared" ca="1" si="32"/>
        <v>0</v>
      </c>
      <c r="CM67" s="33">
        <f t="shared" ca="1" si="32"/>
        <v>0</v>
      </c>
      <c r="CN67" s="33">
        <f t="shared" ca="1" si="32"/>
        <v>0</v>
      </c>
      <c r="CO67" s="33">
        <f t="shared" ca="1" si="32"/>
        <v>0</v>
      </c>
      <c r="CP67" s="33">
        <f t="shared" ca="1" si="32"/>
        <v>0</v>
      </c>
      <c r="CQ67" s="33">
        <f t="shared" ca="1" si="32"/>
        <v>0</v>
      </c>
      <c r="CR67" s="33">
        <f t="shared" ca="1" si="32"/>
        <v>0</v>
      </c>
      <c r="CS67" s="33">
        <f t="shared" ca="1" si="32"/>
        <v>0</v>
      </c>
      <c r="CT67" s="33">
        <f t="shared" ca="1" si="32"/>
        <v>0</v>
      </c>
      <c r="CU67" s="33">
        <f t="shared" ca="1" si="32"/>
        <v>0</v>
      </c>
      <c r="CV67" s="33">
        <f t="shared" ca="1" si="32"/>
        <v>0</v>
      </c>
      <c r="CW67" s="33">
        <f t="shared" ca="1" si="32"/>
        <v>0</v>
      </c>
      <c r="CX67" s="33">
        <f t="shared" ca="1" si="32"/>
        <v>0</v>
      </c>
      <c r="CY67" s="578">
        <f t="shared" ca="1" si="32"/>
        <v>0</v>
      </c>
    </row>
    <row r="68" spans="1:103" ht="15" customHeight="1" thickBot="1" x14ac:dyDescent="0.35">
      <c r="A68" s="732"/>
      <c r="B68" s="723"/>
      <c r="C68" s="72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5"/>
      <c r="AP68" s="4"/>
      <c r="AQ68" s="4"/>
      <c r="AR68" s="4"/>
      <c r="AS68" s="4"/>
      <c r="AT68" s="4"/>
      <c r="AU68" s="4"/>
      <c r="AV68" s="4"/>
      <c r="AW68" s="4"/>
      <c r="AX68" s="4"/>
      <c r="AY68" s="4"/>
      <c r="AZ68" s="4"/>
      <c r="BA68" s="4"/>
      <c r="BB68" s="4"/>
      <c r="BC68" s="4"/>
      <c r="BD68" s="4"/>
      <c r="BE68" s="4"/>
      <c r="BF68" s="4"/>
      <c r="BG68" s="4"/>
      <c r="BH68" s="4"/>
      <c r="BI68" s="4"/>
      <c r="BJ68" s="4"/>
      <c r="BK68" s="45"/>
      <c r="BL68" s="4"/>
      <c r="BM68" s="4"/>
      <c r="BN68" s="4"/>
      <c r="BO68" s="4"/>
      <c r="BP68" s="4"/>
      <c r="BQ68" s="4"/>
      <c r="BR68" s="4"/>
      <c r="BS68" s="4"/>
      <c r="BT68" s="4"/>
      <c r="BU68" s="4"/>
      <c r="BV68" s="4"/>
      <c r="BW68" s="4"/>
      <c r="BX68" s="4"/>
      <c r="BY68" s="4"/>
      <c r="BZ68" s="4"/>
      <c r="CA68" s="45"/>
      <c r="CB68" s="4"/>
      <c r="CC68" s="4"/>
      <c r="CD68" s="4"/>
      <c r="CE68" s="4"/>
      <c r="CF68" s="4"/>
      <c r="CG68" s="4"/>
      <c r="CH68" s="4"/>
      <c r="CI68" s="4"/>
      <c r="CJ68" s="4"/>
      <c r="CK68" s="4"/>
      <c r="CL68" s="4"/>
      <c r="CM68" s="4"/>
      <c r="CN68" s="4"/>
      <c r="CO68" s="4"/>
      <c r="CP68" s="4"/>
      <c r="CQ68" s="4"/>
      <c r="CR68" s="4"/>
      <c r="CS68" s="4"/>
      <c r="CT68" s="4"/>
      <c r="CU68" s="4"/>
      <c r="CV68" s="4"/>
      <c r="CW68" s="4"/>
      <c r="CX68" s="4"/>
      <c r="CY68" s="576"/>
    </row>
    <row r="69" spans="1:103" ht="15" customHeight="1" x14ac:dyDescent="0.3">
      <c r="A69" s="733" t="s">
        <v>43</v>
      </c>
      <c r="B69" s="734"/>
      <c r="C69" s="735">
        <f>SUM(D69:CY69)</f>
        <v>0</v>
      </c>
      <c r="D69" s="2">
        <f>D62</f>
        <v>0</v>
      </c>
      <c r="E69" s="2">
        <f t="shared" ref="E69:AI69" si="33">E62</f>
        <v>0</v>
      </c>
      <c r="F69" s="2">
        <f t="shared" si="33"/>
        <v>0</v>
      </c>
      <c r="G69" s="2">
        <f t="shared" si="33"/>
        <v>0</v>
      </c>
      <c r="H69" s="2">
        <f t="shared" si="33"/>
        <v>0</v>
      </c>
      <c r="I69" s="2">
        <f t="shared" si="33"/>
        <v>0</v>
      </c>
      <c r="J69" s="2">
        <f t="shared" si="33"/>
        <v>0</v>
      </c>
      <c r="K69" s="2">
        <f t="shared" si="33"/>
        <v>0</v>
      </c>
      <c r="L69" s="2">
        <f t="shared" si="33"/>
        <v>0</v>
      </c>
      <c r="M69" s="2">
        <f t="shared" si="33"/>
        <v>0</v>
      </c>
      <c r="N69" s="2">
        <f t="shared" si="33"/>
        <v>0</v>
      </c>
      <c r="O69" s="2">
        <f t="shared" si="33"/>
        <v>0</v>
      </c>
      <c r="P69" s="2">
        <f t="shared" si="33"/>
        <v>0</v>
      </c>
      <c r="Q69" s="2">
        <f t="shared" si="33"/>
        <v>0</v>
      </c>
      <c r="R69" s="2">
        <f t="shared" si="33"/>
        <v>0</v>
      </c>
      <c r="S69" s="2">
        <f t="shared" si="33"/>
        <v>0</v>
      </c>
      <c r="T69" s="2">
        <f t="shared" si="33"/>
        <v>0</v>
      </c>
      <c r="U69" s="2">
        <f t="shared" si="33"/>
        <v>0</v>
      </c>
      <c r="V69" s="2">
        <f t="shared" si="33"/>
        <v>0</v>
      </c>
      <c r="W69" s="2">
        <f t="shared" si="33"/>
        <v>0</v>
      </c>
      <c r="X69" s="2">
        <f t="shared" si="33"/>
        <v>0</v>
      </c>
      <c r="Y69" s="2">
        <f t="shared" si="33"/>
        <v>0</v>
      </c>
      <c r="Z69" s="2">
        <f t="shared" si="33"/>
        <v>0</v>
      </c>
      <c r="AA69" s="2">
        <f t="shared" si="33"/>
        <v>0</v>
      </c>
      <c r="AB69" s="2">
        <f t="shared" si="33"/>
        <v>0</v>
      </c>
      <c r="AC69" s="2">
        <f t="shared" si="33"/>
        <v>0</v>
      </c>
      <c r="AD69" s="2">
        <f t="shared" si="33"/>
        <v>0</v>
      </c>
      <c r="AE69" s="2">
        <f t="shared" si="33"/>
        <v>0</v>
      </c>
      <c r="AF69" s="2">
        <f t="shared" si="33"/>
        <v>0</v>
      </c>
      <c r="AG69" s="2">
        <f t="shared" si="33"/>
        <v>0</v>
      </c>
      <c r="AH69" s="2">
        <f t="shared" si="33"/>
        <v>0</v>
      </c>
      <c r="AI69" s="2">
        <f t="shared" si="33"/>
        <v>0</v>
      </c>
      <c r="AJ69" s="2">
        <f t="shared" ref="AJ69:BO69" si="34">AJ62</f>
        <v>0</v>
      </c>
      <c r="AK69" s="2">
        <f t="shared" si="34"/>
        <v>0</v>
      </c>
      <c r="AL69" s="2">
        <f t="shared" si="34"/>
        <v>0</v>
      </c>
      <c r="AM69" s="2">
        <f t="shared" si="34"/>
        <v>0</v>
      </c>
      <c r="AN69" s="2">
        <f t="shared" si="34"/>
        <v>0</v>
      </c>
      <c r="AO69" s="48">
        <f t="shared" si="34"/>
        <v>0</v>
      </c>
      <c r="AP69" s="2">
        <f t="shared" si="34"/>
        <v>0</v>
      </c>
      <c r="AQ69" s="2">
        <f t="shared" si="34"/>
        <v>0</v>
      </c>
      <c r="AR69" s="2">
        <f t="shared" si="34"/>
        <v>0</v>
      </c>
      <c r="AS69" s="2">
        <f t="shared" si="34"/>
        <v>0</v>
      </c>
      <c r="AT69" s="2">
        <f t="shared" si="34"/>
        <v>0</v>
      </c>
      <c r="AU69" s="2">
        <f t="shared" si="34"/>
        <v>0</v>
      </c>
      <c r="AV69" s="2">
        <f t="shared" si="34"/>
        <v>0</v>
      </c>
      <c r="AW69" s="2">
        <f t="shared" si="34"/>
        <v>0</v>
      </c>
      <c r="AX69" s="2">
        <f t="shared" si="34"/>
        <v>0</v>
      </c>
      <c r="AY69" s="2">
        <f t="shared" si="34"/>
        <v>0</v>
      </c>
      <c r="AZ69" s="2">
        <f t="shared" si="34"/>
        <v>0</v>
      </c>
      <c r="BA69" s="2">
        <f t="shared" si="34"/>
        <v>0</v>
      </c>
      <c r="BB69" s="2">
        <f t="shared" si="34"/>
        <v>0</v>
      </c>
      <c r="BC69" s="2">
        <f t="shared" si="34"/>
        <v>0</v>
      </c>
      <c r="BD69" s="2">
        <f t="shared" si="34"/>
        <v>0</v>
      </c>
      <c r="BE69" s="2">
        <f t="shared" si="34"/>
        <v>0</v>
      </c>
      <c r="BF69" s="2">
        <f t="shared" si="34"/>
        <v>0</v>
      </c>
      <c r="BG69" s="2">
        <f t="shared" si="34"/>
        <v>0</v>
      </c>
      <c r="BH69" s="2">
        <f t="shared" si="34"/>
        <v>0</v>
      </c>
      <c r="BI69" s="2">
        <f t="shared" si="34"/>
        <v>0</v>
      </c>
      <c r="BJ69" s="2">
        <f t="shared" si="34"/>
        <v>0</v>
      </c>
      <c r="BK69" s="48">
        <f t="shared" si="34"/>
        <v>0</v>
      </c>
      <c r="BL69" s="2">
        <f t="shared" si="34"/>
        <v>0</v>
      </c>
      <c r="BM69" s="2">
        <f t="shared" si="34"/>
        <v>0</v>
      </c>
      <c r="BN69" s="2">
        <f t="shared" si="34"/>
        <v>0</v>
      </c>
      <c r="BO69" s="2">
        <f t="shared" si="34"/>
        <v>0</v>
      </c>
      <c r="BP69" s="2">
        <f t="shared" ref="BP69:CY69" si="35">BP62</f>
        <v>0</v>
      </c>
      <c r="BQ69" s="2">
        <f t="shared" si="35"/>
        <v>0</v>
      </c>
      <c r="BR69" s="2">
        <f t="shared" si="35"/>
        <v>0</v>
      </c>
      <c r="BS69" s="2">
        <f t="shared" si="35"/>
        <v>0</v>
      </c>
      <c r="BT69" s="2">
        <f t="shared" si="35"/>
        <v>0</v>
      </c>
      <c r="BU69" s="2">
        <f t="shared" si="35"/>
        <v>0</v>
      </c>
      <c r="BV69" s="2">
        <f t="shared" si="35"/>
        <v>0</v>
      </c>
      <c r="BW69" s="2">
        <f t="shared" si="35"/>
        <v>0</v>
      </c>
      <c r="BX69" s="2">
        <f t="shared" si="35"/>
        <v>0</v>
      </c>
      <c r="BY69" s="2">
        <f t="shared" si="35"/>
        <v>0</v>
      </c>
      <c r="BZ69" s="2">
        <f t="shared" si="35"/>
        <v>0</v>
      </c>
      <c r="CA69" s="48">
        <f t="shared" si="35"/>
        <v>0</v>
      </c>
      <c r="CB69" s="2">
        <f t="shared" si="35"/>
        <v>0</v>
      </c>
      <c r="CC69" s="2">
        <f t="shared" si="35"/>
        <v>0</v>
      </c>
      <c r="CD69" s="2">
        <f t="shared" si="35"/>
        <v>0</v>
      </c>
      <c r="CE69" s="2">
        <f t="shared" si="35"/>
        <v>0</v>
      </c>
      <c r="CF69" s="2">
        <f t="shared" si="35"/>
        <v>0</v>
      </c>
      <c r="CG69" s="2">
        <f t="shared" si="35"/>
        <v>0</v>
      </c>
      <c r="CH69" s="2">
        <f t="shared" si="35"/>
        <v>0</v>
      </c>
      <c r="CI69" s="2">
        <f t="shared" si="35"/>
        <v>0</v>
      </c>
      <c r="CJ69" s="2">
        <f t="shared" si="35"/>
        <v>0</v>
      </c>
      <c r="CK69" s="2">
        <f t="shared" si="35"/>
        <v>0</v>
      </c>
      <c r="CL69" s="2">
        <f t="shared" si="35"/>
        <v>0</v>
      </c>
      <c r="CM69" s="2">
        <f t="shared" si="35"/>
        <v>0</v>
      </c>
      <c r="CN69" s="2">
        <f t="shared" si="35"/>
        <v>0</v>
      </c>
      <c r="CO69" s="2">
        <f t="shared" si="35"/>
        <v>0</v>
      </c>
      <c r="CP69" s="2">
        <f t="shared" si="35"/>
        <v>0</v>
      </c>
      <c r="CQ69" s="2">
        <f t="shared" si="35"/>
        <v>0</v>
      </c>
      <c r="CR69" s="2">
        <f t="shared" si="35"/>
        <v>0</v>
      </c>
      <c r="CS69" s="2">
        <f t="shared" si="35"/>
        <v>0</v>
      </c>
      <c r="CT69" s="2">
        <f t="shared" si="35"/>
        <v>0</v>
      </c>
      <c r="CU69" s="2">
        <f t="shared" si="35"/>
        <v>0</v>
      </c>
      <c r="CV69" s="2">
        <f t="shared" si="35"/>
        <v>0</v>
      </c>
      <c r="CW69" s="2">
        <f t="shared" si="35"/>
        <v>0</v>
      </c>
      <c r="CX69" s="2">
        <f t="shared" si="35"/>
        <v>0</v>
      </c>
      <c r="CY69" s="579">
        <f t="shared" si="35"/>
        <v>0</v>
      </c>
    </row>
    <row r="70" spans="1:103" ht="15" customHeight="1" thickBot="1" x14ac:dyDescent="0.35">
      <c r="A70" s="736" t="s">
        <v>44</v>
      </c>
      <c r="B70" s="737"/>
      <c r="C70" s="738">
        <f>SUM(D70:CY70)</f>
        <v>0</v>
      </c>
      <c r="D70" s="3">
        <f t="shared" ref="D70:AI70" si="36">D62-D51</f>
        <v>0</v>
      </c>
      <c r="E70" s="3">
        <f t="shared" si="36"/>
        <v>0</v>
      </c>
      <c r="F70" s="3">
        <f t="shared" si="36"/>
        <v>0</v>
      </c>
      <c r="G70" s="3">
        <f t="shared" si="36"/>
        <v>0</v>
      </c>
      <c r="H70" s="3">
        <f t="shared" si="36"/>
        <v>0</v>
      </c>
      <c r="I70" s="3">
        <f t="shared" si="36"/>
        <v>0</v>
      </c>
      <c r="J70" s="3">
        <f t="shared" si="36"/>
        <v>0</v>
      </c>
      <c r="K70" s="3">
        <f t="shared" si="36"/>
        <v>0</v>
      </c>
      <c r="L70" s="3">
        <f t="shared" si="36"/>
        <v>0</v>
      </c>
      <c r="M70" s="3">
        <f t="shared" si="36"/>
        <v>0</v>
      </c>
      <c r="N70" s="3">
        <f t="shared" si="36"/>
        <v>0</v>
      </c>
      <c r="O70" s="3">
        <f t="shared" si="36"/>
        <v>0</v>
      </c>
      <c r="P70" s="3">
        <f t="shared" si="36"/>
        <v>0</v>
      </c>
      <c r="Q70" s="3">
        <f t="shared" si="36"/>
        <v>0</v>
      </c>
      <c r="R70" s="3">
        <f t="shared" si="36"/>
        <v>0</v>
      </c>
      <c r="S70" s="3">
        <f t="shared" si="36"/>
        <v>0</v>
      </c>
      <c r="T70" s="3">
        <f t="shared" si="36"/>
        <v>0</v>
      </c>
      <c r="U70" s="3">
        <f t="shared" si="36"/>
        <v>0</v>
      </c>
      <c r="V70" s="3">
        <f t="shared" si="36"/>
        <v>0</v>
      </c>
      <c r="W70" s="3">
        <f t="shared" si="36"/>
        <v>0</v>
      </c>
      <c r="X70" s="3">
        <f t="shared" si="36"/>
        <v>0</v>
      </c>
      <c r="Y70" s="3">
        <f t="shared" si="36"/>
        <v>0</v>
      </c>
      <c r="Z70" s="3">
        <f t="shared" si="36"/>
        <v>0</v>
      </c>
      <c r="AA70" s="3">
        <f t="shared" si="36"/>
        <v>0</v>
      </c>
      <c r="AB70" s="3">
        <f t="shared" si="36"/>
        <v>0</v>
      </c>
      <c r="AC70" s="3">
        <f t="shared" si="36"/>
        <v>0</v>
      </c>
      <c r="AD70" s="3">
        <f t="shared" si="36"/>
        <v>0</v>
      </c>
      <c r="AE70" s="3">
        <f t="shared" si="36"/>
        <v>0</v>
      </c>
      <c r="AF70" s="3">
        <f t="shared" si="36"/>
        <v>0</v>
      </c>
      <c r="AG70" s="3">
        <f t="shared" si="36"/>
        <v>0</v>
      </c>
      <c r="AH70" s="3">
        <f t="shared" si="36"/>
        <v>0</v>
      </c>
      <c r="AI70" s="3">
        <f t="shared" si="36"/>
        <v>0</v>
      </c>
      <c r="AJ70" s="3">
        <f t="shared" ref="AJ70:BO70" si="37">AJ62-AJ51</f>
        <v>0</v>
      </c>
      <c r="AK70" s="3">
        <f t="shared" si="37"/>
        <v>0</v>
      </c>
      <c r="AL70" s="3">
        <f t="shared" si="37"/>
        <v>0</v>
      </c>
      <c r="AM70" s="3">
        <f t="shared" si="37"/>
        <v>0</v>
      </c>
      <c r="AN70" s="3">
        <f t="shared" si="37"/>
        <v>0</v>
      </c>
      <c r="AO70" s="49">
        <f t="shared" si="37"/>
        <v>0</v>
      </c>
      <c r="AP70" s="3">
        <f t="shared" si="37"/>
        <v>0</v>
      </c>
      <c r="AQ70" s="3">
        <f t="shared" si="37"/>
        <v>0</v>
      </c>
      <c r="AR70" s="3">
        <f t="shared" si="37"/>
        <v>0</v>
      </c>
      <c r="AS70" s="3">
        <f t="shared" si="37"/>
        <v>0</v>
      </c>
      <c r="AT70" s="3">
        <f t="shared" si="37"/>
        <v>0</v>
      </c>
      <c r="AU70" s="3">
        <f t="shared" si="37"/>
        <v>0</v>
      </c>
      <c r="AV70" s="3">
        <f t="shared" si="37"/>
        <v>0</v>
      </c>
      <c r="AW70" s="3">
        <f t="shared" si="37"/>
        <v>0</v>
      </c>
      <c r="AX70" s="3">
        <f t="shared" si="37"/>
        <v>0</v>
      </c>
      <c r="AY70" s="3">
        <f t="shared" si="37"/>
        <v>0</v>
      </c>
      <c r="AZ70" s="3">
        <f t="shared" si="37"/>
        <v>0</v>
      </c>
      <c r="BA70" s="3">
        <f t="shared" si="37"/>
        <v>0</v>
      </c>
      <c r="BB70" s="3">
        <f t="shared" si="37"/>
        <v>0</v>
      </c>
      <c r="BC70" s="3">
        <f t="shared" si="37"/>
        <v>0</v>
      </c>
      <c r="BD70" s="3">
        <f t="shared" si="37"/>
        <v>0</v>
      </c>
      <c r="BE70" s="3">
        <f t="shared" si="37"/>
        <v>0</v>
      </c>
      <c r="BF70" s="3">
        <f t="shared" si="37"/>
        <v>0</v>
      </c>
      <c r="BG70" s="3">
        <f t="shared" si="37"/>
        <v>0</v>
      </c>
      <c r="BH70" s="3">
        <f t="shared" si="37"/>
        <v>0</v>
      </c>
      <c r="BI70" s="3">
        <f t="shared" si="37"/>
        <v>0</v>
      </c>
      <c r="BJ70" s="3">
        <f t="shared" si="37"/>
        <v>0</v>
      </c>
      <c r="BK70" s="49">
        <f t="shared" si="37"/>
        <v>0</v>
      </c>
      <c r="BL70" s="3">
        <f t="shared" si="37"/>
        <v>0</v>
      </c>
      <c r="BM70" s="3">
        <f t="shared" si="37"/>
        <v>0</v>
      </c>
      <c r="BN70" s="3">
        <f t="shared" si="37"/>
        <v>0</v>
      </c>
      <c r="BO70" s="3">
        <f t="shared" si="37"/>
        <v>0</v>
      </c>
      <c r="BP70" s="3">
        <f t="shared" ref="BP70:CY70" si="38">BP62-BP51</f>
        <v>0</v>
      </c>
      <c r="BQ70" s="3">
        <f t="shared" si="38"/>
        <v>0</v>
      </c>
      <c r="BR70" s="3">
        <f t="shared" si="38"/>
        <v>0</v>
      </c>
      <c r="BS70" s="3">
        <f t="shared" si="38"/>
        <v>0</v>
      </c>
      <c r="BT70" s="3">
        <f t="shared" si="38"/>
        <v>0</v>
      </c>
      <c r="BU70" s="3">
        <f t="shared" si="38"/>
        <v>0</v>
      </c>
      <c r="BV70" s="3">
        <f t="shared" si="38"/>
        <v>0</v>
      </c>
      <c r="BW70" s="3">
        <f t="shared" si="38"/>
        <v>0</v>
      </c>
      <c r="BX70" s="3">
        <f t="shared" si="38"/>
        <v>0</v>
      </c>
      <c r="BY70" s="3">
        <f t="shared" si="38"/>
        <v>0</v>
      </c>
      <c r="BZ70" s="3">
        <f t="shared" si="38"/>
        <v>0</v>
      </c>
      <c r="CA70" s="49">
        <f t="shared" si="38"/>
        <v>0</v>
      </c>
      <c r="CB70" s="3">
        <f t="shared" si="38"/>
        <v>0</v>
      </c>
      <c r="CC70" s="3">
        <f t="shared" si="38"/>
        <v>0</v>
      </c>
      <c r="CD70" s="3">
        <f t="shared" si="38"/>
        <v>0</v>
      </c>
      <c r="CE70" s="3">
        <f t="shared" si="38"/>
        <v>0</v>
      </c>
      <c r="CF70" s="3">
        <f t="shared" si="38"/>
        <v>0</v>
      </c>
      <c r="CG70" s="3">
        <f t="shared" si="38"/>
        <v>0</v>
      </c>
      <c r="CH70" s="3">
        <f t="shared" si="38"/>
        <v>0</v>
      </c>
      <c r="CI70" s="3">
        <f t="shared" si="38"/>
        <v>0</v>
      </c>
      <c r="CJ70" s="3">
        <f t="shared" si="38"/>
        <v>0</v>
      </c>
      <c r="CK70" s="3">
        <f t="shared" si="38"/>
        <v>0</v>
      </c>
      <c r="CL70" s="3">
        <f t="shared" si="38"/>
        <v>0</v>
      </c>
      <c r="CM70" s="3">
        <f t="shared" si="38"/>
        <v>0</v>
      </c>
      <c r="CN70" s="3">
        <f t="shared" si="38"/>
        <v>0</v>
      </c>
      <c r="CO70" s="3">
        <f t="shared" si="38"/>
        <v>0</v>
      </c>
      <c r="CP70" s="3">
        <f t="shared" si="38"/>
        <v>0</v>
      </c>
      <c r="CQ70" s="3">
        <f t="shared" si="38"/>
        <v>0</v>
      </c>
      <c r="CR70" s="3">
        <f t="shared" si="38"/>
        <v>0</v>
      </c>
      <c r="CS70" s="3">
        <f t="shared" si="38"/>
        <v>0</v>
      </c>
      <c r="CT70" s="3">
        <f t="shared" si="38"/>
        <v>0</v>
      </c>
      <c r="CU70" s="3">
        <f t="shared" si="38"/>
        <v>0</v>
      </c>
      <c r="CV70" s="3">
        <f t="shared" si="38"/>
        <v>0</v>
      </c>
      <c r="CW70" s="3">
        <f t="shared" si="38"/>
        <v>0</v>
      </c>
      <c r="CX70" s="3">
        <f t="shared" si="38"/>
        <v>0</v>
      </c>
      <c r="CY70" s="580">
        <f t="shared" si="38"/>
        <v>0</v>
      </c>
    </row>
    <row r="71" spans="1:103" ht="15" customHeight="1" thickBot="1" x14ac:dyDescent="0.35">
      <c r="A71" s="732"/>
      <c r="B71" s="723"/>
      <c r="C71" s="72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5"/>
      <c r="AP71" s="4"/>
      <c r="AQ71" s="4"/>
      <c r="AR71" s="4"/>
      <c r="AS71" s="4"/>
      <c r="AT71" s="4"/>
      <c r="AU71" s="4"/>
      <c r="AV71" s="4"/>
      <c r="AW71" s="4"/>
      <c r="AX71" s="4"/>
      <c r="AY71" s="4"/>
      <c r="AZ71" s="4"/>
      <c r="BA71" s="4"/>
      <c r="BB71" s="4"/>
      <c r="BC71" s="4"/>
      <c r="BD71" s="4"/>
      <c r="BE71" s="4"/>
      <c r="BF71" s="4"/>
      <c r="BG71" s="4"/>
      <c r="BH71" s="4"/>
      <c r="BI71" s="4"/>
      <c r="BJ71" s="4"/>
      <c r="BK71" s="45"/>
      <c r="BL71" s="4"/>
      <c r="BM71" s="4"/>
      <c r="BN71" s="4"/>
      <c r="BO71" s="4"/>
      <c r="BP71" s="4"/>
      <c r="BQ71" s="4"/>
      <c r="BR71" s="4"/>
      <c r="BS71" s="4"/>
      <c r="BT71" s="4"/>
      <c r="BU71" s="4"/>
      <c r="BV71" s="4"/>
      <c r="BW71" s="4"/>
      <c r="BX71" s="4"/>
      <c r="BY71" s="4"/>
      <c r="BZ71" s="4"/>
      <c r="CA71" s="45"/>
      <c r="CB71" s="4"/>
      <c r="CC71" s="4"/>
      <c r="CD71" s="4"/>
      <c r="CE71" s="4"/>
      <c r="CF71" s="4"/>
      <c r="CG71" s="4"/>
      <c r="CH71" s="4"/>
      <c r="CI71" s="4"/>
      <c r="CJ71" s="4"/>
      <c r="CK71" s="4"/>
      <c r="CL71" s="4"/>
      <c r="CM71" s="4"/>
      <c r="CN71" s="4"/>
      <c r="CO71" s="4"/>
      <c r="CP71" s="4"/>
      <c r="CQ71" s="4"/>
      <c r="CR71" s="4"/>
      <c r="CS71" s="4"/>
      <c r="CT71" s="4"/>
      <c r="CU71" s="4"/>
      <c r="CV71" s="4"/>
      <c r="CW71" s="4"/>
      <c r="CX71" s="4"/>
      <c r="CY71" s="576"/>
    </row>
    <row r="72" spans="1:103" ht="15" customHeight="1" x14ac:dyDescent="0.3">
      <c r="A72" s="739" t="s">
        <v>45</v>
      </c>
      <c r="B72" s="740"/>
      <c r="C72" s="110">
        <f ca="1">SUM(D72:CY72)</f>
        <v>-6112</v>
      </c>
      <c r="D72" s="34">
        <f ca="1">D69-D66</f>
        <v>-6112</v>
      </c>
      <c r="E72" s="34">
        <f ca="1">E69-E66</f>
        <v>0</v>
      </c>
      <c r="F72" s="34">
        <f t="shared" ref="F72:BQ72" ca="1" si="39">F69-F66</f>
        <v>0</v>
      </c>
      <c r="G72" s="34">
        <f t="shared" ca="1" si="39"/>
        <v>0</v>
      </c>
      <c r="H72" s="34">
        <f t="shared" ca="1" si="39"/>
        <v>0</v>
      </c>
      <c r="I72" s="34">
        <f t="shared" ca="1" si="39"/>
        <v>0</v>
      </c>
      <c r="J72" s="34">
        <f t="shared" ca="1" si="39"/>
        <v>0</v>
      </c>
      <c r="K72" s="34">
        <f t="shared" ca="1" si="39"/>
        <v>0</v>
      </c>
      <c r="L72" s="34">
        <f t="shared" ca="1" si="39"/>
        <v>0</v>
      </c>
      <c r="M72" s="34">
        <f t="shared" ca="1" si="39"/>
        <v>0</v>
      </c>
      <c r="N72" s="34">
        <f t="shared" ca="1" si="39"/>
        <v>0</v>
      </c>
      <c r="O72" s="34">
        <f t="shared" ca="1" si="39"/>
        <v>0</v>
      </c>
      <c r="P72" s="34">
        <f t="shared" ca="1" si="39"/>
        <v>0</v>
      </c>
      <c r="Q72" s="34">
        <f t="shared" ca="1" si="39"/>
        <v>0</v>
      </c>
      <c r="R72" s="34">
        <f t="shared" ca="1" si="39"/>
        <v>0</v>
      </c>
      <c r="S72" s="34">
        <f t="shared" ca="1" si="39"/>
        <v>0</v>
      </c>
      <c r="T72" s="34">
        <f t="shared" ca="1" si="39"/>
        <v>0</v>
      </c>
      <c r="U72" s="34">
        <f t="shared" ca="1" si="39"/>
        <v>0</v>
      </c>
      <c r="V72" s="34">
        <f t="shared" ca="1" si="39"/>
        <v>0</v>
      </c>
      <c r="W72" s="34">
        <f t="shared" ca="1" si="39"/>
        <v>0</v>
      </c>
      <c r="X72" s="34">
        <f t="shared" ca="1" si="39"/>
        <v>0</v>
      </c>
      <c r="Y72" s="34">
        <f t="shared" ca="1" si="39"/>
        <v>0</v>
      </c>
      <c r="Z72" s="34">
        <f t="shared" ca="1" si="39"/>
        <v>0</v>
      </c>
      <c r="AA72" s="34">
        <f t="shared" ca="1" si="39"/>
        <v>0</v>
      </c>
      <c r="AB72" s="34">
        <f t="shared" ca="1" si="39"/>
        <v>0</v>
      </c>
      <c r="AC72" s="34">
        <f t="shared" ca="1" si="39"/>
        <v>0</v>
      </c>
      <c r="AD72" s="34">
        <f t="shared" ca="1" si="39"/>
        <v>0</v>
      </c>
      <c r="AE72" s="34">
        <f t="shared" ca="1" si="39"/>
        <v>0</v>
      </c>
      <c r="AF72" s="34">
        <f t="shared" ca="1" si="39"/>
        <v>0</v>
      </c>
      <c r="AG72" s="34">
        <f t="shared" ca="1" si="39"/>
        <v>0</v>
      </c>
      <c r="AH72" s="34">
        <f t="shared" ca="1" si="39"/>
        <v>0</v>
      </c>
      <c r="AI72" s="34">
        <f t="shared" ca="1" si="39"/>
        <v>0</v>
      </c>
      <c r="AJ72" s="34">
        <f t="shared" ca="1" si="39"/>
        <v>0</v>
      </c>
      <c r="AK72" s="34">
        <f t="shared" ca="1" si="39"/>
        <v>0</v>
      </c>
      <c r="AL72" s="34">
        <f t="shared" ca="1" si="39"/>
        <v>0</v>
      </c>
      <c r="AM72" s="34">
        <f t="shared" ca="1" si="39"/>
        <v>0</v>
      </c>
      <c r="AN72" s="34">
        <f t="shared" ca="1" si="39"/>
        <v>0</v>
      </c>
      <c r="AO72" s="50">
        <f t="shared" ca="1" si="39"/>
        <v>0</v>
      </c>
      <c r="AP72" s="34">
        <f t="shared" ca="1" si="39"/>
        <v>0</v>
      </c>
      <c r="AQ72" s="34">
        <f t="shared" ca="1" si="39"/>
        <v>0</v>
      </c>
      <c r="AR72" s="34">
        <f t="shared" ca="1" si="39"/>
        <v>0</v>
      </c>
      <c r="AS72" s="34">
        <f t="shared" ca="1" si="39"/>
        <v>0</v>
      </c>
      <c r="AT72" s="34">
        <f t="shared" ca="1" si="39"/>
        <v>0</v>
      </c>
      <c r="AU72" s="34">
        <f t="shared" ca="1" si="39"/>
        <v>0</v>
      </c>
      <c r="AV72" s="34">
        <f t="shared" ca="1" si="39"/>
        <v>0</v>
      </c>
      <c r="AW72" s="34">
        <f t="shared" ca="1" si="39"/>
        <v>0</v>
      </c>
      <c r="AX72" s="34">
        <f t="shared" ca="1" si="39"/>
        <v>0</v>
      </c>
      <c r="AY72" s="34">
        <f t="shared" ca="1" si="39"/>
        <v>0</v>
      </c>
      <c r="AZ72" s="34">
        <f t="shared" ca="1" si="39"/>
        <v>0</v>
      </c>
      <c r="BA72" s="34">
        <f t="shared" ca="1" si="39"/>
        <v>0</v>
      </c>
      <c r="BB72" s="34">
        <f t="shared" ca="1" si="39"/>
        <v>0</v>
      </c>
      <c r="BC72" s="34">
        <f t="shared" ca="1" si="39"/>
        <v>0</v>
      </c>
      <c r="BD72" s="34">
        <f t="shared" ca="1" si="39"/>
        <v>0</v>
      </c>
      <c r="BE72" s="34">
        <f t="shared" ca="1" si="39"/>
        <v>0</v>
      </c>
      <c r="BF72" s="34">
        <f t="shared" ca="1" si="39"/>
        <v>0</v>
      </c>
      <c r="BG72" s="34">
        <f t="shared" ca="1" si="39"/>
        <v>0</v>
      </c>
      <c r="BH72" s="34">
        <f t="shared" ca="1" si="39"/>
        <v>0</v>
      </c>
      <c r="BI72" s="34">
        <f t="shared" ca="1" si="39"/>
        <v>0</v>
      </c>
      <c r="BJ72" s="34">
        <f t="shared" ca="1" si="39"/>
        <v>0</v>
      </c>
      <c r="BK72" s="50">
        <f t="shared" ca="1" si="39"/>
        <v>0</v>
      </c>
      <c r="BL72" s="34">
        <f t="shared" ca="1" si="39"/>
        <v>0</v>
      </c>
      <c r="BM72" s="34">
        <f t="shared" ca="1" si="39"/>
        <v>0</v>
      </c>
      <c r="BN72" s="34">
        <f t="shared" ca="1" si="39"/>
        <v>0</v>
      </c>
      <c r="BO72" s="34">
        <f t="shared" ca="1" si="39"/>
        <v>0</v>
      </c>
      <c r="BP72" s="34">
        <f t="shared" ca="1" si="39"/>
        <v>0</v>
      </c>
      <c r="BQ72" s="34">
        <f t="shared" ca="1" si="39"/>
        <v>0</v>
      </c>
      <c r="BR72" s="34">
        <f t="shared" ref="BR72:CY72" ca="1" si="40">BR69-BR66</f>
        <v>0</v>
      </c>
      <c r="BS72" s="34">
        <f t="shared" ca="1" si="40"/>
        <v>0</v>
      </c>
      <c r="BT72" s="34">
        <f t="shared" ca="1" si="40"/>
        <v>0</v>
      </c>
      <c r="BU72" s="34">
        <f t="shared" ca="1" si="40"/>
        <v>0</v>
      </c>
      <c r="BV72" s="34">
        <f t="shared" ca="1" si="40"/>
        <v>0</v>
      </c>
      <c r="BW72" s="34">
        <f t="shared" ca="1" si="40"/>
        <v>0</v>
      </c>
      <c r="BX72" s="34">
        <f t="shared" ca="1" si="40"/>
        <v>0</v>
      </c>
      <c r="BY72" s="34">
        <f t="shared" ca="1" si="40"/>
        <v>0</v>
      </c>
      <c r="BZ72" s="34">
        <f t="shared" ca="1" si="40"/>
        <v>0</v>
      </c>
      <c r="CA72" s="50">
        <f t="shared" ca="1" si="40"/>
        <v>0</v>
      </c>
      <c r="CB72" s="34">
        <f t="shared" ca="1" si="40"/>
        <v>0</v>
      </c>
      <c r="CC72" s="34">
        <f t="shared" ca="1" si="40"/>
        <v>0</v>
      </c>
      <c r="CD72" s="34">
        <f t="shared" ca="1" si="40"/>
        <v>0</v>
      </c>
      <c r="CE72" s="34">
        <f t="shared" ca="1" si="40"/>
        <v>0</v>
      </c>
      <c r="CF72" s="34">
        <f t="shared" ca="1" si="40"/>
        <v>0</v>
      </c>
      <c r="CG72" s="34">
        <f t="shared" ca="1" si="40"/>
        <v>0</v>
      </c>
      <c r="CH72" s="34">
        <f t="shared" ca="1" si="40"/>
        <v>0</v>
      </c>
      <c r="CI72" s="34">
        <f t="shared" ca="1" si="40"/>
        <v>0</v>
      </c>
      <c r="CJ72" s="34">
        <f t="shared" ca="1" si="40"/>
        <v>0</v>
      </c>
      <c r="CK72" s="34">
        <f t="shared" ca="1" si="40"/>
        <v>0</v>
      </c>
      <c r="CL72" s="34">
        <f t="shared" ca="1" si="40"/>
        <v>0</v>
      </c>
      <c r="CM72" s="34">
        <f t="shared" ca="1" si="40"/>
        <v>0</v>
      </c>
      <c r="CN72" s="34">
        <f t="shared" ca="1" si="40"/>
        <v>0</v>
      </c>
      <c r="CO72" s="34">
        <f t="shared" ca="1" si="40"/>
        <v>0</v>
      </c>
      <c r="CP72" s="34">
        <f t="shared" ca="1" si="40"/>
        <v>0</v>
      </c>
      <c r="CQ72" s="34">
        <f t="shared" ca="1" si="40"/>
        <v>0</v>
      </c>
      <c r="CR72" s="34">
        <f t="shared" ca="1" si="40"/>
        <v>0</v>
      </c>
      <c r="CS72" s="34">
        <f t="shared" ca="1" si="40"/>
        <v>0</v>
      </c>
      <c r="CT72" s="34">
        <f t="shared" ca="1" si="40"/>
        <v>0</v>
      </c>
      <c r="CU72" s="34">
        <f t="shared" ca="1" si="40"/>
        <v>0</v>
      </c>
      <c r="CV72" s="34">
        <f t="shared" ca="1" si="40"/>
        <v>0</v>
      </c>
      <c r="CW72" s="34">
        <f t="shared" ca="1" si="40"/>
        <v>0</v>
      </c>
      <c r="CX72" s="34">
        <f t="shared" ca="1" si="40"/>
        <v>0</v>
      </c>
      <c r="CY72" s="581">
        <f t="shared" ca="1" si="40"/>
        <v>0</v>
      </c>
    </row>
    <row r="73" spans="1:103" ht="15" customHeight="1" thickBot="1" x14ac:dyDescent="0.35">
      <c r="A73" s="741" t="s">
        <v>46</v>
      </c>
      <c r="B73" s="742"/>
      <c r="C73" s="111">
        <f ca="1">SUM(D73:CY73)</f>
        <v>-1695</v>
      </c>
      <c r="D73" s="35">
        <f ca="1">D70-D67</f>
        <v>-1695</v>
      </c>
      <c r="E73" s="35">
        <f ca="1">E70-E67</f>
        <v>0</v>
      </c>
      <c r="F73" s="35">
        <f t="shared" ref="F73:BQ73" ca="1" si="41">F70-F67</f>
        <v>0</v>
      </c>
      <c r="G73" s="35">
        <f t="shared" ca="1" si="41"/>
        <v>0</v>
      </c>
      <c r="H73" s="35">
        <f t="shared" ca="1" si="41"/>
        <v>0</v>
      </c>
      <c r="I73" s="35">
        <f t="shared" ca="1" si="41"/>
        <v>0</v>
      </c>
      <c r="J73" s="35">
        <f t="shared" ca="1" si="41"/>
        <v>0</v>
      </c>
      <c r="K73" s="35">
        <f t="shared" ca="1" si="41"/>
        <v>0</v>
      </c>
      <c r="L73" s="35">
        <f t="shared" ca="1" si="41"/>
        <v>0</v>
      </c>
      <c r="M73" s="35">
        <f t="shared" ca="1" si="41"/>
        <v>0</v>
      </c>
      <c r="N73" s="35">
        <f t="shared" ca="1" si="41"/>
        <v>0</v>
      </c>
      <c r="O73" s="35">
        <f t="shared" ca="1" si="41"/>
        <v>0</v>
      </c>
      <c r="P73" s="35">
        <f t="shared" ca="1" si="41"/>
        <v>0</v>
      </c>
      <c r="Q73" s="35">
        <f t="shared" ca="1" si="41"/>
        <v>0</v>
      </c>
      <c r="R73" s="35">
        <f t="shared" ca="1" si="41"/>
        <v>0</v>
      </c>
      <c r="S73" s="35">
        <f t="shared" ca="1" si="41"/>
        <v>0</v>
      </c>
      <c r="T73" s="35">
        <f t="shared" ca="1" si="41"/>
        <v>0</v>
      </c>
      <c r="U73" s="35">
        <f t="shared" ca="1" si="41"/>
        <v>0</v>
      </c>
      <c r="V73" s="35">
        <f t="shared" ca="1" si="41"/>
        <v>0</v>
      </c>
      <c r="W73" s="35">
        <f t="shared" ca="1" si="41"/>
        <v>0</v>
      </c>
      <c r="X73" s="35">
        <f t="shared" ca="1" si="41"/>
        <v>0</v>
      </c>
      <c r="Y73" s="35">
        <f t="shared" ca="1" si="41"/>
        <v>0</v>
      </c>
      <c r="Z73" s="35">
        <f t="shared" ca="1" si="41"/>
        <v>0</v>
      </c>
      <c r="AA73" s="35">
        <f t="shared" ca="1" si="41"/>
        <v>0</v>
      </c>
      <c r="AB73" s="35">
        <f t="shared" ca="1" si="41"/>
        <v>0</v>
      </c>
      <c r="AC73" s="35">
        <f t="shared" ca="1" si="41"/>
        <v>0</v>
      </c>
      <c r="AD73" s="35">
        <f t="shared" ca="1" si="41"/>
        <v>0</v>
      </c>
      <c r="AE73" s="35">
        <f t="shared" ca="1" si="41"/>
        <v>0</v>
      </c>
      <c r="AF73" s="35">
        <f t="shared" ca="1" si="41"/>
        <v>0</v>
      </c>
      <c r="AG73" s="35">
        <f t="shared" ca="1" si="41"/>
        <v>0</v>
      </c>
      <c r="AH73" s="35">
        <f t="shared" ca="1" si="41"/>
        <v>0</v>
      </c>
      <c r="AI73" s="35">
        <f t="shared" ca="1" si="41"/>
        <v>0</v>
      </c>
      <c r="AJ73" s="35">
        <f t="shared" ca="1" si="41"/>
        <v>0</v>
      </c>
      <c r="AK73" s="35">
        <f t="shared" ca="1" si="41"/>
        <v>0</v>
      </c>
      <c r="AL73" s="35">
        <f t="shared" ca="1" si="41"/>
        <v>0</v>
      </c>
      <c r="AM73" s="35">
        <f t="shared" ca="1" si="41"/>
        <v>0</v>
      </c>
      <c r="AN73" s="35">
        <f t="shared" ca="1" si="41"/>
        <v>0</v>
      </c>
      <c r="AO73" s="51">
        <f t="shared" ca="1" si="41"/>
        <v>0</v>
      </c>
      <c r="AP73" s="35">
        <f t="shared" ca="1" si="41"/>
        <v>0</v>
      </c>
      <c r="AQ73" s="35">
        <f t="shared" ca="1" si="41"/>
        <v>0</v>
      </c>
      <c r="AR73" s="35">
        <f t="shared" ca="1" si="41"/>
        <v>0</v>
      </c>
      <c r="AS73" s="35">
        <f t="shared" ca="1" si="41"/>
        <v>0</v>
      </c>
      <c r="AT73" s="35">
        <f t="shared" ca="1" si="41"/>
        <v>0</v>
      </c>
      <c r="AU73" s="35">
        <f t="shared" ca="1" si="41"/>
        <v>0</v>
      </c>
      <c r="AV73" s="35">
        <f t="shared" ca="1" si="41"/>
        <v>0</v>
      </c>
      <c r="AW73" s="35">
        <f t="shared" ca="1" si="41"/>
        <v>0</v>
      </c>
      <c r="AX73" s="35">
        <f t="shared" ca="1" si="41"/>
        <v>0</v>
      </c>
      <c r="AY73" s="35">
        <f t="shared" ca="1" si="41"/>
        <v>0</v>
      </c>
      <c r="AZ73" s="35">
        <f t="shared" ca="1" si="41"/>
        <v>0</v>
      </c>
      <c r="BA73" s="35">
        <f t="shared" ca="1" si="41"/>
        <v>0</v>
      </c>
      <c r="BB73" s="35">
        <f t="shared" ca="1" si="41"/>
        <v>0</v>
      </c>
      <c r="BC73" s="35">
        <f t="shared" ca="1" si="41"/>
        <v>0</v>
      </c>
      <c r="BD73" s="35">
        <f t="shared" ca="1" si="41"/>
        <v>0</v>
      </c>
      <c r="BE73" s="35">
        <f t="shared" ca="1" si="41"/>
        <v>0</v>
      </c>
      <c r="BF73" s="35">
        <f t="shared" ca="1" si="41"/>
        <v>0</v>
      </c>
      <c r="BG73" s="35">
        <f t="shared" ca="1" si="41"/>
        <v>0</v>
      </c>
      <c r="BH73" s="35">
        <f t="shared" ca="1" si="41"/>
        <v>0</v>
      </c>
      <c r="BI73" s="35">
        <f t="shared" ca="1" si="41"/>
        <v>0</v>
      </c>
      <c r="BJ73" s="35">
        <f t="shared" ca="1" si="41"/>
        <v>0</v>
      </c>
      <c r="BK73" s="51">
        <f t="shared" ca="1" si="41"/>
        <v>0</v>
      </c>
      <c r="BL73" s="35">
        <f t="shared" ca="1" si="41"/>
        <v>0</v>
      </c>
      <c r="BM73" s="35">
        <f t="shared" ca="1" si="41"/>
        <v>0</v>
      </c>
      <c r="BN73" s="35">
        <f t="shared" ca="1" si="41"/>
        <v>0</v>
      </c>
      <c r="BO73" s="35">
        <f t="shared" ca="1" si="41"/>
        <v>0</v>
      </c>
      <c r="BP73" s="35">
        <f t="shared" ca="1" si="41"/>
        <v>0</v>
      </c>
      <c r="BQ73" s="35">
        <f t="shared" ca="1" si="41"/>
        <v>0</v>
      </c>
      <c r="BR73" s="35">
        <f t="shared" ref="BR73:CY73" ca="1" si="42">BR70-BR67</f>
        <v>0</v>
      </c>
      <c r="BS73" s="35">
        <f t="shared" ca="1" si="42"/>
        <v>0</v>
      </c>
      <c r="BT73" s="35">
        <f t="shared" ca="1" si="42"/>
        <v>0</v>
      </c>
      <c r="BU73" s="35">
        <f t="shared" ca="1" si="42"/>
        <v>0</v>
      </c>
      <c r="BV73" s="35">
        <f t="shared" ca="1" si="42"/>
        <v>0</v>
      </c>
      <c r="BW73" s="35">
        <f t="shared" ca="1" si="42"/>
        <v>0</v>
      </c>
      <c r="BX73" s="35">
        <f t="shared" ca="1" si="42"/>
        <v>0</v>
      </c>
      <c r="BY73" s="35">
        <f t="shared" ca="1" si="42"/>
        <v>0</v>
      </c>
      <c r="BZ73" s="35">
        <f t="shared" ca="1" si="42"/>
        <v>0</v>
      </c>
      <c r="CA73" s="51">
        <f t="shared" ca="1" si="42"/>
        <v>0</v>
      </c>
      <c r="CB73" s="35">
        <f t="shared" ca="1" si="42"/>
        <v>0</v>
      </c>
      <c r="CC73" s="35">
        <f t="shared" ca="1" si="42"/>
        <v>0</v>
      </c>
      <c r="CD73" s="35">
        <f t="shared" ca="1" si="42"/>
        <v>0</v>
      </c>
      <c r="CE73" s="35">
        <f t="shared" ca="1" si="42"/>
        <v>0</v>
      </c>
      <c r="CF73" s="35">
        <f t="shared" ca="1" si="42"/>
        <v>0</v>
      </c>
      <c r="CG73" s="35">
        <f t="shared" ca="1" si="42"/>
        <v>0</v>
      </c>
      <c r="CH73" s="35">
        <f t="shared" ca="1" si="42"/>
        <v>0</v>
      </c>
      <c r="CI73" s="35">
        <f t="shared" ca="1" si="42"/>
        <v>0</v>
      </c>
      <c r="CJ73" s="35">
        <f t="shared" ca="1" si="42"/>
        <v>0</v>
      </c>
      <c r="CK73" s="35">
        <f t="shared" ca="1" si="42"/>
        <v>0</v>
      </c>
      <c r="CL73" s="35">
        <f t="shared" ca="1" si="42"/>
        <v>0</v>
      </c>
      <c r="CM73" s="35">
        <f t="shared" ca="1" si="42"/>
        <v>0</v>
      </c>
      <c r="CN73" s="35">
        <f t="shared" ca="1" si="42"/>
        <v>0</v>
      </c>
      <c r="CO73" s="35">
        <f t="shared" ca="1" si="42"/>
        <v>0</v>
      </c>
      <c r="CP73" s="35">
        <f t="shared" ca="1" si="42"/>
        <v>0</v>
      </c>
      <c r="CQ73" s="35">
        <f t="shared" ca="1" si="42"/>
        <v>0</v>
      </c>
      <c r="CR73" s="35">
        <f t="shared" ca="1" si="42"/>
        <v>0</v>
      </c>
      <c r="CS73" s="35">
        <f t="shared" ca="1" si="42"/>
        <v>0</v>
      </c>
      <c r="CT73" s="35">
        <f t="shared" ca="1" si="42"/>
        <v>0</v>
      </c>
      <c r="CU73" s="35">
        <f t="shared" ca="1" si="42"/>
        <v>0</v>
      </c>
      <c r="CV73" s="35">
        <f t="shared" ca="1" si="42"/>
        <v>0</v>
      </c>
      <c r="CW73" s="35">
        <f t="shared" ca="1" si="42"/>
        <v>0</v>
      </c>
      <c r="CX73" s="35">
        <f t="shared" ca="1" si="42"/>
        <v>0</v>
      </c>
      <c r="CY73" s="582">
        <f t="shared" ca="1" si="42"/>
        <v>0</v>
      </c>
    </row>
    <row r="74" spans="1:103" ht="15" customHeight="1" x14ac:dyDescent="0.3">
      <c r="A74" s="722"/>
      <c r="B74" s="723"/>
      <c r="C74" s="72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5"/>
      <c r="AP74" s="4"/>
      <c r="AQ74" s="4"/>
      <c r="AR74" s="4"/>
      <c r="AS74" s="4"/>
      <c r="AT74" s="4"/>
      <c r="AU74" s="4"/>
      <c r="AV74" s="4"/>
      <c r="AW74" s="4"/>
      <c r="AX74" s="4"/>
      <c r="AY74" s="4"/>
      <c r="AZ74" s="4"/>
      <c r="BA74" s="4"/>
      <c r="BB74" s="4"/>
      <c r="BC74" s="4"/>
      <c r="BD74" s="4"/>
      <c r="BE74" s="4"/>
      <c r="BF74" s="4"/>
      <c r="BG74" s="4"/>
      <c r="BH74" s="4"/>
      <c r="BI74" s="4"/>
      <c r="BJ74" s="4"/>
      <c r="BK74" s="45"/>
      <c r="BL74" s="4"/>
      <c r="BM74" s="4"/>
      <c r="BN74" s="4"/>
      <c r="BO74" s="4"/>
      <c r="BP74" s="4"/>
      <c r="BQ74" s="4"/>
      <c r="BR74" s="4"/>
      <c r="BS74" s="4"/>
      <c r="BT74" s="4"/>
      <c r="BU74" s="4"/>
      <c r="BV74" s="4"/>
      <c r="BW74" s="4"/>
      <c r="BX74" s="4"/>
      <c r="BY74" s="4"/>
      <c r="BZ74" s="4"/>
      <c r="CA74" s="45"/>
      <c r="CB74" s="4"/>
      <c r="CC74" s="4"/>
      <c r="CD74" s="4"/>
      <c r="CE74" s="4"/>
      <c r="CF74" s="4"/>
      <c r="CG74" s="4"/>
      <c r="CH74" s="4"/>
      <c r="CI74" s="4"/>
      <c r="CJ74" s="4"/>
      <c r="CK74" s="4"/>
      <c r="CL74" s="4"/>
      <c r="CM74" s="4"/>
      <c r="CN74" s="4"/>
      <c r="CO74" s="4"/>
      <c r="CP74" s="4"/>
      <c r="CQ74" s="4"/>
      <c r="CR74" s="4"/>
      <c r="CS74" s="4"/>
      <c r="CT74" s="4"/>
      <c r="CU74" s="4"/>
      <c r="CV74" s="4"/>
      <c r="CW74" s="4"/>
      <c r="CX74" s="4"/>
      <c r="CY74" s="576"/>
    </row>
    <row r="75" spans="1:103" ht="16.5" customHeight="1" thickBot="1" x14ac:dyDescent="0.35">
      <c r="A75" s="725" t="s">
        <v>54</v>
      </c>
      <c r="B75" s="723"/>
      <c r="C75" s="72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5"/>
      <c r="AP75" s="4"/>
      <c r="AQ75" s="4"/>
      <c r="AR75" s="4"/>
      <c r="AS75" s="4"/>
      <c r="AT75" s="4"/>
      <c r="AU75" s="4"/>
      <c r="AV75" s="4"/>
      <c r="AW75" s="4"/>
      <c r="AX75" s="4"/>
      <c r="AY75" s="4"/>
      <c r="AZ75" s="4"/>
      <c r="BA75" s="4"/>
      <c r="BB75" s="4"/>
      <c r="BC75" s="4"/>
      <c r="BD75" s="4"/>
      <c r="BE75" s="4"/>
      <c r="BF75" s="4"/>
      <c r="BG75" s="4"/>
      <c r="BH75" s="4"/>
      <c r="BI75" s="4"/>
      <c r="BJ75" s="4"/>
      <c r="BK75" s="45"/>
      <c r="BL75" s="4"/>
      <c r="BM75" s="4"/>
      <c r="BN75" s="4"/>
      <c r="BO75" s="4"/>
      <c r="BP75" s="4"/>
      <c r="BQ75" s="4"/>
      <c r="BR75" s="4"/>
      <c r="BS75" s="4"/>
      <c r="BT75" s="4"/>
      <c r="BU75" s="4"/>
      <c r="BV75" s="4"/>
      <c r="BW75" s="4"/>
      <c r="BX75" s="4"/>
      <c r="BY75" s="4"/>
      <c r="BZ75" s="4"/>
      <c r="CA75" s="45"/>
      <c r="CB75" s="4"/>
      <c r="CC75" s="4"/>
      <c r="CD75" s="4"/>
      <c r="CE75" s="4"/>
      <c r="CF75" s="4"/>
      <c r="CG75" s="4"/>
      <c r="CH75" s="4"/>
      <c r="CI75" s="4"/>
      <c r="CJ75" s="4"/>
      <c r="CK75" s="4"/>
      <c r="CL75" s="4"/>
      <c r="CM75" s="4"/>
      <c r="CN75" s="4"/>
      <c r="CO75" s="4"/>
      <c r="CP75" s="4"/>
      <c r="CQ75" s="4"/>
      <c r="CR75" s="4"/>
      <c r="CS75" s="4"/>
      <c r="CT75" s="4"/>
      <c r="CU75" s="4"/>
      <c r="CV75" s="4"/>
      <c r="CW75" s="4"/>
      <c r="CX75" s="4"/>
      <c r="CY75" s="576"/>
    </row>
    <row r="76" spans="1:103" ht="15" customHeight="1" thickBot="1" x14ac:dyDescent="0.35">
      <c r="A76" s="743" t="s">
        <v>304</v>
      </c>
      <c r="B76" s="744"/>
      <c r="C76" s="745"/>
      <c r="D76" s="746">
        <v>1</v>
      </c>
      <c r="E76" s="746">
        <v>0.96618357487922713</v>
      </c>
      <c r="F76" s="746">
        <v>0.93351070036640305</v>
      </c>
      <c r="G76" s="746">
        <v>0.90194270566802237</v>
      </c>
      <c r="H76" s="746">
        <v>0.87144222769857238</v>
      </c>
      <c r="I76" s="746">
        <v>0.84197316685852408</v>
      </c>
      <c r="J76" s="746">
        <v>0.81350064430775282</v>
      </c>
      <c r="K76" s="746">
        <v>0.78599096068381924</v>
      </c>
      <c r="L76" s="746">
        <v>0.75941155621625056</v>
      </c>
      <c r="M76" s="746">
        <v>0.73373097218961414</v>
      </c>
      <c r="N76" s="746">
        <v>0.70891881370977217</v>
      </c>
      <c r="O76" s="746">
        <v>0.68494571372924851</v>
      </c>
      <c r="P76" s="746">
        <v>0.66178329828912907</v>
      </c>
      <c r="Q76" s="746">
        <v>0.63940415293635666</v>
      </c>
      <c r="R76" s="746">
        <v>0.61778179027667313</v>
      </c>
      <c r="S76" s="746">
        <v>0.59689061862480497</v>
      </c>
      <c r="T76" s="746">
        <v>0.57670591171478747</v>
      </c>
      <c r="U76" s="746">
        <v>0.55720377943457733</v>
      </c>
      <c r="V76" s="746">
        <v>0.53836113955031628</v>
      </c>
      <c r="W76" s="746">
        <v>0.520155690386779</v>
      </c>
      <c r="X76" s="746">
        <v>0.50256588443167061</v>
      </c>
      <c r="Y76" s="746">
        <v>0.48557090283253201</v>
      </c>
      <c r="Z76" s="746">
        <v>0.46915063075606961</v>
      </c>
      <c r="AA76" s="746">
        <v>0.45328563358074364</v>
      </c>
      <c r="AB76" s="746">
        <v>0.43795713389443836</v>
      </c>
      <c r="AC76" s="746">
        <v>0.42314698926998878</v>
      </c>
      <c r="AD76" s="746">
        <v>0.40883767079225974</v>
      </c>
      <c r="AE76" s="746">
        <v>0.39501224231136212</v>
      </c>
      <c r="AF76" s="746">
        <v>0.38165434039745133</v>
      </c>
      <c r="AG76" s="746">
        <v>0.36874815497338298</v>
      </c>
      <c r="AH76" s="746">
        <v>0.35627841060230242</v>
      </c>
      <c r="AI76" s="746">
        <v>0.34590136951679845</v>
      </c>
      <c r="AJ76" s="746">
        <v>0.33582657234640628</v>
      </c>
      <c r="AK76" s="746">
        <v>0.32604521587029733</v>
      </c>
      <c r="AL76" s="746">
        <v>0.31654875327213333</v>
      </c>
      <c r="AM76" s="746">
        <v>0.30732888667197411</v>
      </c>
      <c r="AN76" s="746">
        <v>0.29837755987570302</v>
      </c>
      <c r="AO76" s="747">
        <v>0.28968695133563399</v>
      </c>
      <c r="AP76" s="746">
        <v>0.28124946731614953</v>
      </c>
      <c r="AQ76" s="746">
        <v>0.2730577352583976</v>
      </c>
      <c r="AR76" s="746">
        <v>0.26510459733825009</v>
      </c>
      <c r="AS76" s="746">
        <v>0.25738310421189331</v>
      </c>
      <c r="AT76" s="746">
        <v>0.24988650894358574</v>
      </c>
      <c r="AU76" s="746">
        <v>0.24260826111027742</v>
      </c>
      <c r="AV76" s="746">
        <v>0.23554200107793924</v>
      </c>
      <c r="AW76" s="746">
        <v>0.2286815544446012</v>
      </c>
      <c r="AX76" s="746">
        <v>0.22202092664524387</v>
      </c>
      <c r="AY76" s="746">
        <v>0.215554297713829</v>
      </c>
      <c r="AZ76" s="746">
        <v>0.20927601719789224</v>
      </c>
      <c r="BA76" s="746">
        <v>0.20318059922125459</v>
      </c>
      <c r="BB76" s="746">
        <v>0.19726271769053844</v>
      </c>
      <c r="BC76" s="746">
        <v>0.19151720164129946</v>
      </c>
      <c r="BD76" s="746">
        <v>0.18593903071970821</v>
      </c>
      <c r="BE76" s="746">
        <v>0.18052333079583321</v>
      </c>
      <c r="BF76" s="746">
        <v>0.17526536970469245</v>
      </c>
      <c r="BG76" s="746">
        <v>0.17016055311135189</v>
      </c>
      <c r="BH76" s="746">
        <v>0.16520442049645814</v>
      </c>
      <c r="BI76" s="746">
        <v>0.16039264125869723</v>
      </c>
      <c r="BJ76" s="746">
        <v>0.15572101093077401</v>
      </c>
      <c r="BK76" s="747">
        <v>0.15118544750560584</v>
      </c>
      <c r="BL76" s="746">
        <v>0.14678198786952024</v>
      </c>
      <c r="BM76" s="746">
        <v>0.14250678433934003</v>
      </c>
      <c r="BN76" s="746">
        <v>0.13835610130033013</v>
      </c>
      <c r="BO76" s="746">
        <v>0.13432631194206809</v>
      </c>
      <c r="BP76" s="746">
        <v>0.1304138950893865</v>
      </c>
      <c r="BQ76" s="746">
        <v>0.12661543212561796</v>
      </c>
      <c r="BR76" s="746">
        <v>0.12292760400545433</v>
      </c>
      <c r="BS76" s="746">
        <v>0.11934718835481002</v>
      </c>
      <c r="BT76" s="746">
        <v>0.11587105665515536</v>
      </c>
      <c r="BU76" s="746">
        <v>0.11249617150985958</v>
      </c>
      <c r="BV76" s="746">
        <v>0.10921958399015493</v>
      </c>
      <c r="BW76" s="746">
        <v>0.10603843105840284</v>
      </c>
      <c r="BX76" s="746">
        <v>0.10294993306641052</v>
      </c>
      <c r="BY76" s="746">
        <v>9.9951391326612155E-2</v>
      </c>
      <c r="BZ76" s="746">
        <v>9.7040185753992383E-2</v>
      </c>
      <c r="CA76" s="747">
        <v>9.4213772576691626E-2</v>
      </c>
      <c r="CB76" s="746">
        <v>9.1915875684577208E-2</v>
      </c>
      <c r="CC76" s="746">
        <v>8.9674025058124107E-2</v>
      </c>
      <c r="CD76" s="746">
        <v>8.7486853715243035E-2</v>
      </c>
      <c r="CE76" s="746">
        <v>8.5353028014871254E-2</v>
      </c>
      <c r="CF76" s="746">
        <v>8.3271246843776847E-2</v>
      </c>
      <c r="CG76" s="746">
        <v>8.1240240823196933E-2</v>
      </c>
      <c r="CH76" s="746">
        <v>7.9258771534826286E-2</v>
      </c>
      <c r="CI76" s="746">
        <v>7.7325630765684189E-2</v>
      </c>
      <c r="CJ76" s="746">
        <v>7.5439639771399211E-2</v>
      </c>
      <c r="CK76" s="746">
        <v>7.3599648557462649E-2</v>
      </c>
      <c r="CL76" s="746">
        <v>7.1804535178012344E-2</v>
      </c>
      <c r="CM76" s="746">
        <v>7.0053205051719372E-2</v>
      </c>
      <c r="CN76" s="746">
        <v>6.8344590294360366E-2</v>
      </c>
      <c r="CO76" s="746">
        <v>6.6677649067668654E-2</v>
      </c>
      <c r="CP76" s="746">
        <v>6.5051364944066992E-2</v>
      </c>
      <c r="CQ76" s="746">
        <v>6.3464746286894635E-2</v>
      </c>
      <c r="CR76" s="746">
        <v>6.1916825645750871E-2</v>
      </c>
      <c r="CS76" s="746">
        <v>6.0406659166586218E-2</v>
      </c>
      <c r="CT76" s="746">
        <v>5.8933326016181682E-2</v>
      </c>
      <c r="CU76" s="746">
        <v>5.7495927820665059E-2</v>
      </c>
      <c r="CV76" s="746">
        <v>5.6093588117722012E-2</v>
      </c>
      <c r="CW76" s="746">
        <v>5.4725451822167821E-2</v>
      </c>
      <c r="CX76" s="746">
        <v>5.3390684704553978E-2</v>
      </c>
      <c r="CY76" s="748">
        <v>5.2088472882491688E-2</v>
      </c>
    </row>
    <row r="77" spans="1:103" ht="15" customHeight="1" thickBot="1" x14ac:dyDescent="0.35">
      <c r="A77" s="743" t="s">
        <v>171</v>
      </c>
      <c r="B77" s="744"/>
      <c r="C77" s="745"/>
      <c r="D77" s="59">
        <f>IF('Data Entry'!$H$5="3.5% Declining",VLOOKUP(Cashflow!D$3,'Lookup Tables'!$A$60:$D$160,4,FALSE),'Data Entry'!$H$5)</f>
        <v>3.5000000000000003E-2</v>
      </c>
      <c r="E77" s="59">
        <f>IF('Data Entry'!$H$5="3.5% Declining",VLOOKUP(Cashflow!E$3,'Lookup Tables'!$A$60:$D$160,4,FALSE),'Data Entry'!$H$5)</f>
        <v>3.5000000000000003E-2</v>
      </c>
      <c r="F77" s="59">
        <f>IF('Data Entry'!$H$5="3.5% Declining",VLOOKUP(Cashflow!F$3,'Lookup Tables'!$A$60:$D$160,4,FALSE),'Data Entry'!$H$5)</f>
        <v>3.5000000000000003E-2</v>
      </c>
      <c r="G77" s="59">
        <f>IF('Data Entry'!$H$5="3.5% Declining",VLOOKUP(Cashflow!G$3,'Lookup Tables'!$A$60:$D$160,4,FALSE),'Data Entry'!$H$5)</f>
        <v>3.5000000000000003E-2</v>
      </c>
      <c r="H77" s="59">
        <f>IF('Data Entry'!$H$5="3.5% Declining",VLOOKUP(Cashflow!H$3,'Lookup Tables'!$A$60:$D$160,4,FALSE),'Data Entry'!$H$5)</f>
        <v>3.5000000000000003E-2</v>
      </c>
      <c r="I77" s="59">
        <f>IF('Data Entry'!$H$5="3.5% Declining",VLOOKUP(Cashflow!I$3,'Lookup Tables'!$A$60:$D$160,4,FALSE),'Data Entry'!$H$5)</f>
        <v>3.5000000000000003E-2</v>
      </c>
      <c r="J77" s="59">
        <f>IF('Data Entry'!$H$5="3.5% Declining",VLOOKUP(Cashflow!J$3,'Lookup Tables'!$A$60:$D$160,4,FALSE),'Data Entry'!$H$5)</f>
        <v>3.5000000000000003E-2</v>
      </c>
      <c r="K77" s="59">
        <f>IF('Data Entry'!$H$5="3.5% Declining",VLOOKUP(Cashflow!K$3,'Lookup Tables'!$A$60:$D$160,4,FALSE),'Data Entry'!$H$5)</f>
        <v>3.5000000000000003E-2</v>
      </c>
      <c r="L77" s="59">
        <f>IF('Data Entry'!$H$5="3.5% Declining",VLOOKUP(Cashflow!L$3,'Lookup Tables'!$A$60:$D$160,4,FALSE),'Data Entry'!$H$5)</f>
        <v>3.5000000000000003E-2</v>
      </c>
      <c r="M77" s="59">
        <f>IF('Data Entry'!$H$5="3.5% Declining",VLOOKUP(Cashflow!M$3,'Lookup Tables'!$A$60:$D$160,4,FALSE),'Data Entry'!$H$5)</f>
        <v>3.5000000000000003E-2</v>
      </c>
      <c r="N77" s="59">
        <f>IF('Data Entry'!$H$5="3.5% Declining",VLOOKUP(Cashflow!N$3,'Lookup Tables'!$A$60:$D$160,4,FALSE),'Data Entry'!$H$5)</f>
        <v>3.5000000000000003E-2</v>
      </c>
      <c r="O77" s="59">
        <f>IF('Data Entry'!$H$5="3.5% Declining",VLOOKUP(Cashflow!O$3,'Lookup Tables'!$A$60:$D$160,4,FALSE),'Data Entry'!$H$5)</f>
        <v>3.5000000000000003E-2</v>
      </c>
      <c r="P77" s="59">
        <f>IF('Data Entry'!$H$5="3.5% Declining",VLOOKUP(Cashflow!P$3,'Lookup Tables'!$A$60:$D$160,4,FALSE),'Data Entry'!$H$5)</f>
        <v>3.5000000000000003E-2</v>
      </c>
      <c r="Q77" s="59">
        <f>IF('Data Entry'!$H$5="3.5% Declining",VLOOKUP(Cashflow!Q$3,'Lookup Tables'!$A$60:$D$160,4,FALSE),'Data Entry'!$H$5)</f>
        <v>3.5000000000000003E-2</v>
      </c>
      <c r="R77" s="59">
        <f>IF('Data Entry'!$H$5="3.5% Declining",VLOOKUP(Cashflow!R$3,'Lookup Tables'!$A$60:$D$160,4,FALSE),'Data Entry'!$H$5)</f>
        <v>3.5000000000000003E-2</v>
      </c>
      <c r="S77" s="59">
        <f>IF('Data Entry'!$H$5="3.5% Declining",VLOOKUP(Cashflow!S$3,'Lookup Tables'!$A$60:$D$160,4,FALSE),'Data Entry'!$H$5)</f>
        <v>3.5000000000000003E-2</v>
      </c>
      <c r="T77" s="59">
        <f>IF('Data Entry'!$H$5="3.5% Declining",VLOOKUP(Cashflow!T$3,'Lookup Tables'!$A$60:$D$160,4,FALSE),'Data Entry'!$H$5)</f>
        <v>3.5000000000000003E-2</v>
      </c>
      <c r="U77" s="59">
        <f>IF('Data Entry'!$H$5="3.5% Declining",VLOOKUP(Cashflow!U$3,'Lookup Tables'!$A$60:$D$160,4,FALSE),'Data Entry'!$H$5)</f>
        <v>3.5000000000000003E-2</v>
      </c>
      <c r="V77" s="59">
        <f>IF('Data Entry'!$H$5="3.5% Declining",VLOOKUP(Cashflow!V$3,'Lookup Tables'!$A$60:$D$160,4,FALSE),'Data Entry'!$H$5)</f>
        <v>3.5000000000000003E-2</v>
      </c>
      <c r="W77" s="59">
        <f>IF('Data Entry'!$H$5="3.5% Declining",VLOOKUP(Cashflow!W$3,'Lookup Tables'!$A$60:$D$160,4,FALSE),'Data Entry'!$H$5)</f>
        <v>3.5000000000000003E-2</v>
      </c>
      <c r="X77" s="59">
        <f>IF('Data Entry'!$H$5="3.5% Declining",VLOOKUP(Cashflow!X$3,'Lookup Tables'!$A$60:$D$160,4,FALSE),'Data Entry'!$H$5)</f>
        <v>3.5000000000000003E-2</v>
      </c>
      <c r="Y77" s="59">
        <f>IF('Data Entry'!$H$5="3.5% Declining",VLOOKUP(Cashflow!Y$3,'Lookup Tables'!$A$60:$D$160,4,FALSE),'Data Entry'!$H$5)</f>
        <v>3.5000000000000003E-2</v>
      </c>
      <c r="Z77" s="59">
        <f>IF('Data Entry'!$H$5="3.5% Declining",VLOOKUP(Cashflow!Z$3,'Lookup Tables'!$A$60:$D$160,4,FALSE),'Data Entry'!$H$5)</f>
        <v>3.5000000000000003E-2</v>
      </c>
      <c r="AA77" s="59">
        <f>IF('Data Entry'!$H$5="3.5% Declining",VLOOKUP(Cashflow!AA$3,'Lookup Tables'!$A$60:$D$160,4,FALSE),'Data Entry'!$H$5)</f>
        <v>3.5000000000000003E-2</v>
      </c>
      <c r="AB77" s="59">
        <f>IF('Data Entry'!$H$5="3.5% Declining",VLOOKUP(Cashflow!AB$3,'Lookup Tables'!$A$60:$D$160,4,FALSE),'Data Entry'!$H$5)</f>
        <v>3.5000000000000003E-2</v>
      </c>
      <c r="AC77" s="59">
        <f>IF('Data Entry'!$H$5="3.5% Declining",VLOOKUP(Cashflow!AC$3,'Lookup Tables'!$A$60:$D$160,4,FALSE),'Data Entry'!$H$5)</f>
        <v>3.5000000000000003E-2</v>
      </c>
      <c r="AD77" s="59">
        <f>IF('Data Entry'!$H$5="3.5% Declining",VLOOKUP(Cashflow!AD$3,'Lookup Tables'!$A$60:$D$160,4,FALSE),'Data Entry'!$H$5)</f>
        <v>3.5000000000000003E-2</v>
      </c>
      <c r="AE77" s="59">
        <f>IF('Data Entry'!$H$5="3.5% Declining",VLOOKUP(Cashflow!AE$3,'Lookup Tables'!$A$60:$D$160,4,FALSE),'Data Entry'!$H$5)</f>
        <v>3.5000000000000003E-2</v>
      </c>
      <c r="AF77" s="59">
        <f>IF('Data Entry'!$H$5="3.5% Declining",VLOOKUP(Cashflow!AF$3,'Lookup Tables'!$A$60:$D$160,4,FALSE),'Data Entry'!$H$5)</f>
        <v>3.5000000000000003E-2</v>
      </c>
      <c r="AG77" s="59">
        <f>IF('Data Entry'!$H$5="3.5% Declining",VLOOKUP(Cashflow!AG$3,'Lookup Tables'!$A$60:$D$160,4,FALSE),'Data Entry'!$H$5)</f>
        <v>3.5000000000000003E-2</v>
      </c>
      <c r="AH77" s="59">
        <f>IF('Data Entry'!$H$5="3.5% Declining",VLOOKUP(Cashflow!AH$3,'Lookup Tables'!$A$60:$D$160,4,FALSE),'Data Entry'!$H$5)</f>
        <v>3.5000000000000003E-2</v>
      </c>
      <c r="AI77" s="59">
        <f>IF('Data Entry'!$H$5="3.5% Declining",VLOOKUP(Cashflow!AI$3,'Lookup Tables'!$A$60:$D$160,4,FALSE),'Data Entry'!$H$5)</f>
        <v>0.03</v>
      </c>
      <c r="AJ77" s="59">
        <f>IF('Data Entry'!$H$5="3.5% Declining",VLOOKUP(Cashflow!AJ$3,'Lookup Tables'!$A$60:$D$160,4,FALSE),'Data Entry'!$H$5)</f>
        <v>0.03</v>
      </c>
      <c r="AK77" s="59">
        <f>IF('Data Entry'!$H$5="3.5% Declining",VLOOKUP(Cashflow!AK$3,'Lookup Tables'!$A$60:$D$160,4,FALSE),'Data Entry'!$H$5)</f>
        <v>0.03</v>
      </c>
      <c r="AL77" s="59">
        <f>IF('Data Entry'!$H$5="3.5% Declining",VLOOKUP(Cashflow!AL$3,'Lookup Tables'!$A$60:$D$160,4,FALSE),'Data Entry'!$H$5)</f>
        <v>0.03</v>
      </c>
      <c r="AM77" s="59">
        <f>IF('Data Entry'!$H$5="3.5% Declining",VLOOKUP(Cashflow!AM$3,'Lookup Tables'!$A$60:$D$160,4,FALSE),'Data Entry'!$H$5)</f>
        <v>0.03</v>
      </c>
      <c r="AN77" s="59">
        <f>IF('Data Entry'!$H$5="3.5% Declining",VLOOKUP(Cashflow!AN$3,'Lookup Tables'!$A$60:$D$160,4,FALSE),'Data Entry'!$H$5)</f>
        <v>0.03</v>
      </c>
      <c r="AO77" s="170">
        <f>IF('Data Entry'!$H$5="3.5% Declining",VLOOKUP(Cashflow!AO$3,'Lookup Tables'!$A$60:$D$160,4,FALSE),'Data Entry'!$H$5)</f>
        <v>0.03</v>
      </c>
      <c r="AP77" s="59">
        <f>IF('Data Entry'!$H$5="3.5% Declining",VLOOKUP(Cashflow!AP$3,'Lookup Tables'!$A$60:$D$160,4,FALSE),'Data Entry'!$H$5)</f>
        <v>0.03</v>
      </c>
      <c r="AQ77" s="59">
        <f>IF('Data Entry'!$H$5="3.5% Declining",VLOOKUP(Cashflow!AQ$3,'Lookup Tables'!$A$60:$D$160,4,FALSE),'Data Entry'!$H$5)</f>
        <v>0.03</v>
      </c>
      <c r="AR77" s="59">
        <f>IF('Data Entry'!$H$5="3.5% Declining",VLOOKUP(Cashflow!AR$3,'Lookup Tables'!$A$60:$D$160,4,FALSE),'Data Entry'!$H$5)</f>
        <v>0.03</v>
      </c>
      <c r="AS77" s="59">
        <f>IF('Data Entry'!$H$5="3.5% Declining",VLOOKUP(Cashflow!AS$3,'Lookup Tables'!$A$60:$D$160,4,FALSE),'Data Entry'!$H$5)</f>
        <v>0.03</v>
      </c>
      <c r="AT77" s="59">
        <f>IF('Data Entry'!$H$5="3.5% Declining",VLOOKUP(Cashflow!AT$3,'Lookup Tables'!$A$60:$D$160,4,FALSE),'Data Entry'!$H$5)</f>
        <v>0.03</v>
      </c>
      <c r="AU77" s="59">
        <f>IF('Data Entry'!$H$5="3.5% Declining",VLOOKUP(Cashflow!AU$3,'Lookup Tables'!$A$60:$D$160,4,FALSE),'Data Entry'!$H$5)</f>
        <v>0.03</v>
      </c>
      <c r="AV77" s="59">
        <f>IF('Data Entry'!$H$5="3.5% Declining",VLOOKUP(Cashflow!AV$3,'Lookup Tables'!$A$60:$D$160,4,FALSE),'Data Entry'!$H$5)</f>
        <v>0.03</v>
      </c>
      <c r="AW77" s="59">
        <f>IF('Data Entry'!$H$5="3.5% Declining",VLOOKUP(Cashflow!AW$3,'Lookup Tables'!$A$60:$D$160,4,FALSE),'Data Entry'!$H$5)</f>
        <v>0.03</v>
      </c>
      <c r="AX77" s="59">
        <f>IF('Data Entry'!$H$5="3.5% Declining",VLOOKUP(Cashflow!AX$3,'Lookup Tables'!$A$60:$D$160,4,FALSE),'Data Entry'!$H$5)</f>
        <v>0.03</v>
      </c>
      <c r="AY77" s="59">
        <f>IF('Data Entry'!$H$5="3.5% Declining",VLOOKUP(Cashflow!AY$3,'Lookup Tables'!$A$60:$D$160,4,FALSE),'Data Entry'!$H$5)</f>
        <v>0.03</v>
      </c>
      <c r="AZ77" s="59">
        <f>IF('Data Entry'!$H$5="3.5% Declining",VLOOKUP(Cashflow!AZ$3,'Lookup Tables'!$A$60:$D$160,4,FALSE),'Data Entry'!$H$5)</f>
        <v>0.03</v>
      </c>
      <c r="BA77" s="59">
        <f>IF('Data Entry'!$H$5="3.5% Declining",VLOOKUP(Cashflow!BA$3,'Lookup Tables'!$A$60:$D$160,4,FALSE),'Data Entry'!$H$5)</f>
        <v>0.03</v>
      </c>
      <c r="BB77" s="59">
        <f>IF('Data Entry'!$H$5="3.5% Declining",VLOOKUP(Cashflow!BB$3,'Lookup Tables'!$A$60:$D$160,4,FALSE),'Data Entry'!$H$5)</f>
        <v>0.03</v>
      </c>
      <c r="BC77" s="59">
        <f>IF('Data Entry'!$H$5="3.5% Declining",VLOOKUP(Cashflow!BC$3,'Lookup Tables'!$A$60:$D$160,4,FALSE),'Data Entry'!$H$5)</f>
        <v>0.03</v>
      </c>
      <c r="BD77" s="59">
        <f>IF('Data Entry'!$H$5="3.5% Declining",VLOOKUP(Cashflow!BD$3,'Lookup Tables'!$A$60:$D$160,4,FALSE),'Data Entry'!$H$5)</f>
        <v>0.03</v>
      </c>
      <c r="BE77" s="59">
        <f>IF('Data Entry'!$H$5="3.5% Declining",VLOOKUP(Cashflow!BE$3,'Lookup Tables'!$A$60:$D$160,4,FALSE),'Data Entry'!$H$5)</f>
        <v>0.03</v>
      </c>
      <c r="BF77" s="59">
        <f>IF('Data Entry'!$H$5="3.5% Declining",VLOOKUP(Cashflow!BF$3,'Lookup Tables'!$A$60:$D$160,4,FALSE),'Data Entry'!$H$5)</f>
        <v>0.03</v>
      </c>
      <c r="BG77" s="59">
        <f>IF('Data Entry'!$H$5="3.5% Declining",VLOOKUP(Cashflow!BG$3,'Lookup Tables'!$A$60:$D$160,4,FALSE),'Data Entry'!$H$5)</f>
        <v>0.03</v>
      </c>
      <c r="BH77" s="59">
        <f>IF('Data Entry'!$H$5="3.5% Declining",VLOOKUP(Cashflow!BH$3,'Lookup Tables'!$A$60:$D$160,4,FALSE),'Data Entry'!$H$5)</f>
        <v>0.03</v>
      </c>
      <c r="BI77" s="59">
        <f>IF('Data Entry'!$H$5="3.5% Declining",VLOOKUP(Cashflow!BI$3,'Lookup Tables'!$A$60:$D$160,4,FALSE),'Data Entry'!$H$5)</f>
        <v>0.03</v>
      </c>
      <c r="BJ77" s="59">
        <f>IF('Data Entry'!$H$5="3.5% Declining",VLOOKUP(Cashflow!BJ$3,'Lookup Tables'!$A$60:$D$160,4,FALSE),'Data Entry'!$H$5)</f>
        <v>0.03</v>
      </c>
      <c r="BK77" s="170">
        <f>IF('Data Entry'!$H$5="3.5% Declining",VLOOKUP(Cashflow!BK$3,'Lookup Tables'!$A$60:$D$160,4,FALSE),'Data Entry'!$H$5)</f>
        <v>0.03</v>
      </c>
      <c r="BL77" s="59">
        <f>IF('Data Entry'!$H$5="3.5% Declining",VLOOKUP(Cashflow!BL$3,'Lookup Tables'!$A$60:$D$160,4,FALSE),'Data Entry'!$H$5)</f>
        <v>0.03</v>
      </c>
      <c r="BM77" s="59">
        <f>IF('Data Entry'!$H$5="3.5% Declining",VLOOKUP(Cashflow!BM$3,'Lookup Tables'!$A$60:$D$160,4,FALSE),'Data Entry'!$H$5)</f>
        <v>0.03</v>
      </c>
      <c r="BN77" s="59">
        <f>IF('Data Entry'!$H$5="3.5% Declining",VLOOKUP(Cashflow!BN$3,'Lookup Tables'!$A$60:$D$160,4,FALSE),'Data Entry'!$H$5)</f>
        <v>0.03</v>
      </c>
      <c r="BO77" s="59">
        <f>IF('Data Entry'!$H$5="3.5% Declining",VLOOKUP(Cashflow!BO$3,'Lookup Tables'!$A$60:$D$160,4,FALSE),'Data Entry'!$H$5)</f>
        <v>0.03</v>
      </c>
      <c r="BP77" s="59">
        <f>IF('Data Entry'!$H$5="3.5% Declining",VLOOKUP(Cashflow!BP$3,'Lookup Tables'!$A$60:$D$160,4,FALSE),'Data Entry'!$H$5)</f>
        <v>0.03</v>
      </c>
      <c r="BQ77" s="59">
        <f>IF('Data Entry'!$H$5="3.5% Declining",VLOOKUP(Cashflow!BQ$3,'Lookup Tables'!$A$60:$D$160,4,FALSE),'Data Entry'!$H$5)</f>
        <v>0.03</v>
      </c>
      <c r="BR77" s="59">
        <f>IF('Data Entry'!$H$5="3.5% Declining",VLOOKUP(Cashflow!BR$3,'Lookup Tables'!$A$60:$D$160,4,FALSE),'Data Entry'!$H$5)</f>
        <v>0.03</v>
      </c>
      <c r="BS77" s="59">
        <f>IF('Data Entry'!$H$5="3.5% Declining",VLOOKUP(Cashflow!BS$3,'Lookup Tables'!$A$60:$D$160,4,FALSE),'Data Entry'!$H$5)</f>
        <v>0.03</v>
      </c>
      <c r="BT77" s="59">
        <f>IF('Data Entry'!$H$5="3.5% Declining",VLOOKUP(Cashflow!BT$3,'Lookup Tables'!$A$60:$D$160,4,FALSE),'Data Entry'!$H$5)</f>
        <v>0.03</v>
      </c>
      <c r="BU77" s="59">
        <f>IF('Data Entry'!$H$5="3.5% Declining",VLOOKUP(Cashflow!BU$3,'Lookup Tables'!$A$60:$D$160,4,FALSE),'Data Entry'!$H$5)</f>
        <v>0.03</v>
      </c>
      <c r="BV77" s="59">
        <f>IF('Data Entry'!$H$5="3.5% Declining",VLOOKUP(Cashflow!BV$3,'Lookup Tables'!$A$60:$D$160,4,FALSE),'Data Entry'!$H$5)</f>
        <v>0.03</v>
      </c>
      <c r="BW77" s="59">
        <f>IF('Data Entry'!$H$5="3.5% Declining",VLOOKUP(Cashflow!BW$3,'Lookup Tables'!$A$60:$D$160,4,FALSE),'Data Entry'!$H$5)</f>
        <v>0.03</v>
      </c>
      <c r="BX77" s="59">
        <f>IF('Data Entry'!$H$5="3.5% Declining",VLOOKUP(Cashflow!BX$3,'Lookup Tables'!$A$60:$D$160,4,FALSE),'Data Entry'!$H$5)</f>
        <v>0.03</v>
      </c>
      <c r="BY77" s="59">
        <f>IF('Data Entry'!$H$5="3.5% Declining",VLOOKUP(Cashflow!BY$3,'Lookup Tables'!$A$60:$D$160,4,FALSE),'Data Entry'!$H$5)</f>
        <v>0.03</v>
      </c>
      <c r="BZ77" s="59">
        <f>IF('Data Entry'!$H$5="3.5% Declining",VLOOKUP(Cashflow!BZ$3,'Lookup Tables'!$A$60:$D$160,4,FALSE),'Data Entry'!$H$5)</f>
        <v>0.03</v>
      </c>
      <c r="CA77" s="170">
        <f>IF('Data Entry'!$H$5="3.5% Declining",VLOOKUP(Cashflow!CA$3,'Lookup Tables'!$A$60:$D$160,4,FALSE),'Data Entry'!$H$5)</f>
        <v>0.03</v>
      </c>
      <c r="CB77" s="59">
        <f>IF('Data Entry'!$H$5="3.5% Declining",VLOOKUP(Cashflow!CB$3,'Lookup Tables'!$A$60:$D$160,4,FALSE),'Data Entry'!$H$5)</f>
        <v>2.5000000000000001E-2</v>
      </c>
      <c r="CC77" s="59">
        <f>IF('Data Entry'!$H$5="3.5% Declining",VLOOKUP(Cashflow!CC$3,'Lookup Tables'!$A$60:$D$160,4,FALSE),'Data Entry'!$H$5)</f>
        <v>2.5000000000000001E-2</v>
      </c>
      <c r="CD77" s="59">
        <f>IF('Data Entry'!$H$5="3.5% Declining",VLOOKUP(Cashflow!CD$3,'Lookup Tables'!$A$60:$D$160,4,FALSE),'Data Entry'!$H$5)</f>
        <v>2.5000000000000001E-2</v>
      </c>
      <c r="CE77" s="59">
        <f>IF('Data Entry'!$H$5="3.5% Declining",VLOOKUP(Cashflow!CE$3,'Lookup Tables'!$A$60:$D$160,4,FALSE),'Data Entry'!$H$5)</f>
        <v>2.5000000000000001E-2</v>
      </c>
      <c r="CF77" s="59">
        <f>IF('Data Entry'!$H$5="3.5% Declining",VLOOKUP(Cashflow!CF$3,'Lookup Tables'!$A$60:$D$160,4,FALSE),'Data Entry'!$H$5)</f>
        <v>2.5000000000000001E-2</v>
      </c>
      <c r="CG77" s="59">
        <f>IF('Data Entry'!$H$5="3.5% Declining",VLOOKUP(Cashflow!CG$3,'Lookup Tables'!$A$60:$D$160,4,FALSE),'Data Entry'!$H$5)</f>
        <v>2.5000000000000001E-2</v>
      </c>
      <c r="CH77" s="59">
        <f>IF('Data Entry'!$H$5="3.5% Declining",VLOOKUP(Cashflow!CH$3,'Lookup Tables'!$A$60:$D$160,4,FALSE),'Data Entry'!$H$5)</f>
        <v>2.5000000000000001E-2</v>
      </c>
      <c r="CI77" s="59">
        <f>IF('Data Entry'!$H$5="3.5% Declining",VLOOKUP(Cashflow!CI$3,'Lookup Tables'!$A$60:$D$160,4,FALSE),'Data Entry'!$H$5)</f>
        <v>2.5000000000000001E-2</v>
      </c>
      <c r="CJ77" s="59">
        <f>IF('Data Entry'!$H$5="3.5% Declining",VLOOKUP(Cashflow!CJ$3,'Lookup Tables'!$A$60:$D$160,4,FALSE),'Data Entry'!$H$5)</f>
        <v>2.5000000000000001E-2</v>
      </c>
      <c r="CK77" s="59">
        <f>IF('Data Entry'!$H$5="3.5% Declining",VLOOKUP(Cashflow!CK$3,'Lookup Tables'!$A$60:$D$160,4,FALSE),'Data Entry'!$H$5)</f>
        <v>2.5000000000000001E-2</v>
      </c>
      <c r="CL77" s="59">
        <f>IF('Data Entry'!$H$5="3.5% Declining",VLOOKUP(Cashflow!CL$3,'Lookup Tables'!$A$60:$D$160,4,FALSE),'Data Entry'!$H$5)</f>
        <v>2.5000000000000001E-2</v>
      </c>
      <c r="CM77" s="59">
        <f>IF('Data Entry'!$H$5="3.5% Declining",VLOOKUP(Cashflow!CM$3,'Lookup Tables'!$A$60:$D$160,4,FALSE),'Data Entry'!$H$5)</f>
        <v>2.5000000000000001E-2</v>
      </c>
      <c r="CN77" s="59">
        <f>IF('Data Entry'!$H$5="3.5% Declining",VLOOKUP(Cashflow!CN$3,'Lookup Tables'!$A$60:$D$160,4,FALSE),'Data Entry'!$H$5)</f>
        <v>2.5000000000000001E-2</v>
      </c>
      <c r="CO77" s="59">
        <f>IF('Data Entry'!$H$5="3.5% Declining",VLOOKUP(Cashflow!CO$3,'Lookup Tables'!$A$60:$D$160,4,FALSE),'Data Entry'!$H$5)</f>
        <v>2.5000000000000001E-2</v>
      </c>
      <c r="CP77" s="59">
        <f>IF('Data Entry'!$H$5="3.5% Declining",VLOOKUP(Cashflow!CP$3,'Lookup Tables'!$A$60:$D$160,4,FALSE),'Data Entry'!$H$5)</f>
        <v>2.5000000000000001E-2</v>
      </c>
      <c r="CQ77" s="59">
        <f>IF('Data Entry'!$H$5="3.5% Declining",VLOOKUP(Cashflow!CQ$3,'Lookup Tables'!$A$60:$D$160,4,FALSE),'Data Entry'!$H$5)</f>
        <v>2.5000000000000001E-2</v>
      </c>
      <c r="CR77" s="59">
        <f>IF('Data Entry'!$H$5="3.5% Declining",VLOOKUP(Cashflow!CR$3,'Lookup Tables'!$A$60:$D$160,4,FALSE),'Data Entry'!$H$5)</f>
        <v>2.5000000000000001E-2</v>
      </c>
      <c r="CS77" s="59">
        <f>IF('Data Entry'!$H$5="3.5% Declining",VLOOKUP(Cashflow!CS$3,'Lookup Tables'!$A$60:$D$160,4,FALSE),'Data Entry'!$H$5)</f>
        <v>2.5000000000000001E-2</v>
      </c>
      <c r="CT77" s="59">
        <f>IF('Data Entry'!$H$5="3.5% Declining",VLOOKUP(Cashflow!CT$3,'Lookup Tables'!$A$60:$D$160,4,FALSE),'Data Entry'!$H$5)</f>
        <v>2.5000000000000001E-2</v>
      </c>
      <c r="CU77" s="59">
        <f>IF('Data Entry'!$H$5="3.5% Declining",VLOOKUP(Cashflow!CU$3,'Lookup Tables'!$A$60:$D$160,4,FALSE),'Data Entry'!$H$5)</f>
        <v>2.5000000000000001E-2</v>
      </c>
      <c r="CV77" s="59">
        <f>IF('Data Entry'!$H$5="3.5% Declining",VLOOKUP(Cashflow!CV$3,'Lookup Tables'!$A$60:$D$160,4,FALSE),'Data Entry'!$H$5)</f>
        <v>2.5000000000000001E-2</v>
      </c>
      <c r="CW77" s="59">
        <f>IF('Data Entry'!$H$5="3.5% Declining",VLOOKUP(Cashflow!CW$3,'Lookup Tables'!$A$60:$D$160,4,FALSE),'Data Entry'!$H$5)</f>
        <v>2.5000000000000001E-2</v>
      </c>
      <c r="CX77" s="59">
        <f>IF('Data Entry'!$H$5="3.5% Declining",VLOOKUP(Cashflow!CX$3,'Lookup Tables'!$A$60:$D$160,4,FALSE),'Data Entry'!$H$5)</f>
        <v>2.5000000000000001E-2</v>
      </c>
      <c r="CY77" s="583">
        <f>IF('Data Entry'!$H$5="3.5% Declining",VLOOKUP(Cashflow!CY$3,'Lookup Tables'!$A$60:$D$160,4,FALSE),'Data Entry'!$H$5)</f>
        <v>2.5000000000000001E-2</v>
      </c>
    </row>
    <row r="78" spans="1:103" ht="15" customHeight="1" thickBot="1" x14ac:dyDescent="0.35">
      <c r="A78" s="722"/>
      <c r="B78" s="723"/>
      <c r="C78" s="72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5"/>
      <c r="AP78" s="4"/>
      <c r="AQ78" s="4"/>
      <c r="AR78" s="4"/>
      <c r="AS78" s="4"/>
      <c r="AT78" s="4"/>
      <c r="AU78" s="4"/>
      <c r="AV78" s="4"/>
      <c r="AW78" s="4"/>
      <c r="AX78" s="4"/>
      <c r="AY78" s="4"/>
      <c r="AZ78" s="4"/>
      <c r="BA78" s="4"/>
      <c r="BB78" s="4"/>
      <c r="BC78" s="4"/>
      <c r="BD78" s="4"/>
      <c r="BE78" s="4"/>
      <c r="BF78" s="4"/>
      <c r="BG78" s="4"/>
      <c r="BH78" s="4"/>
      <c r="BI78" s="4"/>
      <c r="BJ78" s="4"/>
      <c r="BK78" s="45"/>
      <c r="BL78" s="4"/>
      <c r="BM78" s="4"/>
      <c r="BN78" s="4"/>
      <c r="BO78" s="4"/>
      <c r="BP78" s="4"/>
      <c r="BQ78" s="4"/>
      <c r="BR78" s="4"/>
      <c r="BS78" s="4"/>
      <c r="BT78" s="4"/>
      <c r="BU78" s="4"/>
      <c r="BV78" s="4"/>
      <c r="BW78" s="4"/>
      <c r="BX78" s="4"/>
      <c r="BY78" s="4"/>
      <c r="BZ78" s="4"/>
      <c r="CA78" s="45"/>
      <c r="CB78" s="4"/>
      <c r="CC78" s="4"/>
      <c r="CD78" s="4"/>
      <c r="CE78" s="4"/>
      <c r="CF78" s="4"/>
      <c r="CG78" s="4"/>
      <c r="CH78" s="4"/>
      <c r="CI78" s="4"/>
      <c r="CJ78" s="4"/>
      <c r="CK78" s="4"/>
      <c r="CL78" s="4"/>
      <c r="CM78" s="4"/>
      <c r="CN78" s="4"/>
      <c r="CO78" s="4"/>
      <c r="CP78" s="4"/>
      <c r="CQ78" s="4"/>
      <c r="CR78" s="4"/>
      <c r="CS78" s="4"/>
      <c r="CT78" s="4"/>
      <c r="CU78" s="4"/>
      <c r="CV78" s="4"/>
      <c r="CW78" s="4"/>
      <c r="CX78" s="4"/>
      <c r="CY78" s="576"/>
    </row>
    <row r="79" spans="1:103" ht="15" customHeight="1" x14ac:dyDescent="0.3">
      <c r="A79" s="749" t="s">
        <v>48</v>
      </c>
      <c r="B79" s="750"/>
      <c r="C79" s="751">
        <f ca="1">SUM(D79:CY79)</f>
        <v>6112</v>
      </c>
      <c r="D79" s="381">
        <f ca="1">IF('Data Entry'!$H$5="3.5% Declining",D66*D76,D66/((1+D77)^D3))</f>
        <v>6112</v>
      </c>
      <c r="E79" s="381">
        <f ca="1">IF('Data Entry'!$H$5="3.5% Declining",E66*E76,E66/((1+E77)^E3))</f>
        <v>0</v>
      </c>
      <c r="F79" s="381">
        <f ca="1">IF('Data Entry'!$H$5="3.5% Declining",F66*F76,F66/((1+F77)^F3))</f>
        <v>0</v>
      </c>
      <c r="G79" s="381">
        <f ca="1">IF('Data Entry'!$H$5="3.5% Declining",G66*G76,G66/((1+G77)^G3))</f>
        <v>0</v>
      </c>
      <c r="H79" s="381">
        <f ca="1">IF('Data Entry'!$H$5="3.5% Declining",H66*H76,H66/((1+H77)^H3))</f>
        <v>0</v>
      </c>
      <c r="I79" s="381">
        <f ca="1">IF('Data Entry'!$H$5="3.5% Declining",I66*I76,I66/((1+I77)^I3))</f>
        <v>0</v>
      </c>
      <c r="J79" s="381">
        <f ca="1">IF('Data Entry'!$H$5="3.5% Declining",J66*J76,J66/((1+J77)^J3))</f>
        <v>0</v>
      </c>
      <c r="K79" s="381">
        <f ca="1">IF('Data Entry'!$H$5="3.5% Declining",K66*K76,K66/((1+K77)^K3))</f>
        <v>0</v>
      </c>
      <c r="L79" s="381">
        <f ca="1">IF('Data Entry'!$H$5="3.5% Declining",L66*L76,L66/((1+L77)^L3))</f>
        <v>0</v>
      </c>
      <c r="M79" s="381">
        <f ca="1">IF('Data Entry'!$H$5="3.5% Declining",M66*M76,M66/((1+M77)^M3))</f>
        <v>0</v>
      </c>
      <c r="N79" s="381">
        <f ca="1">IF('Data Entry'!$H$5="3.5% Declining",N66*N76,N66/((1+N77)^N3))</f>
        <v>0</v>
      </c>
      <c r="O79" s="381">
        <f ca="1">IF('Data Entry'!$H$5="3.5% Declining",O66*O76,O66/((1+O77)^O3))</f>
        <v>0</v>
      </c>
      <c r="P79" s="381">
        <f ca="1">IF('Data Entry'!$H$5="3.5% Declining",P66*P76,P66/((1+P77)^P3))</f>
        <v>0</v>
      </c>
      <c r="Q79" s="381">
        <f ca="1">IF('Data Entry'!$H$5="3.5% Declining",Q66*Q76,Q66/((1+Q77)^Q3))</f>
        <v>0</v>
      </c>
      <c r="R79" s="381">
        <f ca="1">IF('Data Entry'!$H$5="3.5% Declining",R66*R76,R66/((1+R77)^R3))</f>
        <v>0</v>
      </c>
      <c r="S79" s="381">
        <f ca="1">IF('Data Entry'!$H$5="3.5% Declining",S66*S76,S66/((1+S77)^S3))</f>
        <v>0</v>
      </c>
      <c r="T79" s="381">
        <f ca="1">IF('Data Entry'!$H$5="3.5% Declining",T66*T76,T66/((1+T77)^T3))</f>
        <v>0</v>
      </c>
      <c r="U79" s="381">
        <f ca="1">IF('Data Entry'!$H$5="3.5% Declining",U66*U76,U66/((1+U77)^U3))</f>
        <v>0</v>
      </c>
      <c r="V79" s="381">
        <f ca="1">IF('Data Entry'!$H$5="3.5% Declining",V66*V76,V66/((1+V77)^V3))</f>
        <v>0</v>
      </c>
      <c r="W79" s="381">
        <f ca="1">IF('Data Entry'!$H$5="3.5% Declining",W66*W76,W66/((1+W77)^W3))</f>
        <v>0</v>
      </c>
      <c r="X79" s="381">
        <f ca="1">IF('Data Entry'!$H$5="3.5% Declining",X66*X76,X66/((1+X77)^X3))</f>
        <v>0</v>
      </c>
      <c r="Y79" s="381">
        <f ca="1">IF('Data Entry'!$H$5="3.5% Declining",Y66*Y76,Y66/((1+Y77)^Y3))</f>
        <v>0</v>
      </c>
      <c r="Z79" s="381">
        <f ca="1">IF('Data Entry'!$H$5="3.5% Declining",Z66*Z76,Z66/((1+Z77)^Z3))</f>
        <v>0</v>
      </c>
      <c r="AA79" s="381">
        <f ca="1">IF('Data Entry'!$H$5="3.5% Declining",AA66*AA76,AA66/((1+AA77)^AA3))</f>
        <v>0</v>
      </c>
      <c r="AB79" s="381">
        <f ca="1">IF('Data Entry'!$H$5="3.5% Declining",AB66*AB76,AB66/((1+AB77)^AB3))</f>
        <v>0</v>
      </c>
      <c r="AC79" s="381">
        <f ca="1">IF('Data Entry'!$H$5="3.5% Declining",AC66*AC76,AC66/((1+AC77)^AC3))</f>
        <v>0</v>
      </c>
      <c r="AD79" s="381">
        <f ca="1">IF('Data Entry'!$H$5="3.5% Declining",AD66*AD76,AD66/((1+AD77)^AD3))</f>
        <v>0</v>
      </c>
      <c r="AE79" s="381">
        <f ca="1">IF('Data Entry'!$H$5="3.5% Declining",AE66*AE76,AE66/((1+AE77)^AE3))</f>
        <v>0</v>
      </c>
      <c r="AF79" s="381">
        <f ca="1">IF('Data Entry'!$H$5="3.5% Declining",AF66*AF76,AF66/((1+AF77)^AF3))</f>
        <v>0</v>
      </c>
      <c r="AG79" s="381">
        <f ca="1">IF('Data Entry'!$H$5="3.5% Declining",AG66*AG76,AG66/((1+AG77)^AG3))</f>
        <v>0</v>
      </c>
      <c r="AH79" s="381">
        <f ca="1">IF('Data Entry'!$H$5="3.5% Declining",AH66*AH76,AH66/((1+AH77)^AH3))</f>
        <v>0</v>
      </c>
      <c r="AI79" s="381">
        <f ca="1">IF('Data Entry'!$H$5="3.5% Declining",AI66*AI76,AI66/((1+AI77)^AI3))</f>
        <v>0</v>
      </c>
      <c r="AJ79" s="381">
        <f ca="1">IF('Data Entry'!$H$5="3.5% Declining",AJ66*AJ76,AJ66/((1+AJ77)^AJ3))</f>
        <v>0</v>
      </c>
      <c r="AK79" s="381">
        <f ca="1">IF('Data Entry'!$H$5="3.5% Declining",AK66*AK76,AK66/((1+AK77)^AK3))</f>
        <v>0</v>
      </c>
      <c r="AL79" s="381">
        <f ca="1">IF('Data Entry'!$H$5="3.5% Declining",AL66*AL76,AL66/((1+AL77)^AL3))</f>
        <v>0</v>
      </c>
      <c r="AM79" s="381">
        <f ca="1">IF('Data Entry'!$H$5="3.5% Declining",AM66*AM76,AM66/((1+AM77)^AM3))</f>
        <v>0</v>
      </c>
      <c r="AN79" s="381">
        <f ca="1">IF('Data Entry'!$H$5="3.5% Declining",AN66*AN76,AN66/((1+AN77)^AN3))</f>
        <v>0</v>
      </c>
      <c r="AO79" s="556">
        <f ca="1">IF('Data Entry'!$H$5="3.5% Declining",AO66*AO76,AO66/((1+AO77)^AO3))</f>
        <v>0</v>
      </c>
      <c r="AP79" s="381">
        <f ca="1">IF('Data Entry'!$H$5="3.5% Declining",AP66*AP76,AP66/((1+AP77)^AP3))</f>
        <v>0</v>
      </c>
      <c r="AQ79" s="381">
        <f ca="1">IF('Data Entry'!$H$5="3.5% Declining",AQ66*AQ76,AQ66/((1+AQ77)^AQ3))</f>
        <v>0</v>
      </c>
      <c r="AR79" s="381">
        <f ca="1">IF('Data Entry'!$H$5="3.5% Declining",AR66*AR76,AR66/((1+AR77)^AR3))</f>
        <v>0</v>
      </c>
      <c r="AS79" s="381">
        <f ca="1">IF('Data Entry'!$H$5="3.5% Declining",AS66*AS76,AS66/((1+AS77)^AS3))</f>
        <v>0</v>
      </c>
      <c r="AT79" s="381">
        <f ca="1">IF('Data Entry'!$H$5="3.5% Declining",AT66*AT76,AT66/((1+AT77)^AT3))</f>
        <v>0</v>
      </c>
      <c r="AU79" s="381">
        <f ca="1">IF('Data Entry'!$H$5="3.5% Declining",AU66*AU76,AU66/((1+AU77)^AU3))</f>
        <v>0</v>
      </c>
      <c r="AV79" s="381">
        <f ca="1">IF('Data Entry'!$H$5="3.5% Declining",AV66*AV76,AV66/((1+AV77)^AV3))</f>
        <v>0</v>
      </c>
      <c r="AW79" s="381">
        <f ca="1">IF('Data Entry'!$H$5="3.5% Declining",AW66*AW76,AW66/((1+AW77)^AW3))</f>
        <v>0</v>
      </c>
      <c r="AX79" s="381">
        <f ca="1">IF('Data Entry'!$H$5="3.5% Declining",AX66*AX76,AX66/((1+AX77)^AX3))</f>
        <v>0</v>
      </c>
      <c r="AY79" s="381">
        <f ca="1">IF('Data Entry'!$H$5="3.5% Declining",AY66*AY76,AY66/((1+AY77)^AY3))</f>
        <v>0</v>
      </c>
      <c r="AZ79" s="381">
        <f ca="1">IF('Data Entry'!$H$5="3.5% Declining",AZ66*AZ76,AZ66/((1+AZ77)^AZ3))</f>
        <v>0</v>
      </c>
      <c r="BA79" s="381">
        <f ca="1">IF('Data Entry'!$H$5="3.5% Declining",BA66*BA76,BA66/((1+BA77)^BA3))</f>
        <v>0</v>
      </c>
      <c r="BB79" s="381">
        <f ca="1">IF('Data Entry'!$H$5="3.5% Declining",BB66*BB76,BB66/((1+BB77)^BB3))</f>
        <v>0</v>
      </c>
      <c r="BC79" s="381">
        <f ca="1">IF('Data Entry'!$H$5="3.5% Declining",BC66*BC76,BC66/((1+BC77)^BC3))</f>
        <v>0</v>
      </c>
      <c r="BD79" s="381">
        <f ca="1">IF('Data Entry'!$H$5="3.5% Declining",BD66*BD76,BD66/((1+BD77)^BD3))</f>
        <v>0</v>
      </c>
      <c r="BE79" s="381">
        <f ca="1">IF('Data Entry'!$H$5="3.5% Declining",BE66*BE76,BE66/((1+BE77)^BE3))</f>
        <v>0</v>
      </c>
      <c r="BF79" s="381">
        <f ca="1">IF('Data Entry'!$H$5="3.5% Declining",BF66*BF76,BF66/((1+BF77)^BF3))</f>
        <v>0</v>
      </c>
      <c r="BG79" s="381">
        <f ca="1">IF('Data Entry'!$H$5="3.5% Declining",BG66*BG76,BG66/((1+BG77)^BG3))</f>
        <v>0</v>
      </c>
      <c r="BH79" s="381">
        <f ca="1">IF('Data Entry'!$H$5="3.5% Declining",BH66*BH76,BH66/((1+BH77)^BH3))</f>
        <v>0</v>
      </c>
      <c r="BI79" s="381">
        <f ca="1">IF('Data Entry'!$H$5="3.5% Declining",BI66*BI76,BI66/((1+BI77)^BI3))</f>
        <v>0</v>
      </c>
      <c r="BJ79" s="381">
        <f ca="1">IF('Data Entry'!$H$5="3.5% Declining",BJ66*BJ76,BJ66/((1+BJ77)^BJ3))</f>
        <v>0</v>
      </c>
      <c r="BK79" s="556">
        <f ca="1">IF('Data Entry'!$H$5="3.5% Declining",BK66*BK76,BK66/((1+BK77)^BK3))</f>
        <v>0</v>
      </c>
      <c r="BL79" s="381">
        <f ca="1">IF('Data Entry'!$H$5="3.5% Declining",BL66*BL76,BL66/((1+BL77)^BL3))</f>
        <v>0</v>
      </c>
      <c r="BM79" s="381">
        <f ca="1">IF('Data Entry'!$H$5="3.5% Declining",BM66*BM76,BM66/((1+BM77)^BM3))</f>
        <v>0</v>
      </c>
      <c r="BN79" s="381">
        <f ca="1">IF('Data Entry'!$H$5="3.5% Declining",BN66*BN76,BN66/((1+BN77)^BN3))</f>
        <v>0</v>
      </c>
      <c r="BO79" s="381">
        <f ca="1">IF('Data Entry'!$H$5="3.5% Declining",BO66*BO76,BO66/((1+BO77)^BO3))</f>
        <v>0</v>
      </c>
      <c r="BP79" s="381">
        <f ca="1">IF('Data Entry'!$H$5="3.5% Declining",BP66*BP76,BP66/((1+BP77)^BP3))</f>
        <v>0</v>
      </c>
      <c r="BQ79" s="381">
        <f ca="1">IF('Data Entry'!$H$5="3.5% Declining",BQ66*BQ76,BQ66/((1+BQ77)^BQ3))</f>
        <v>0</v>
      </c>
      <c r="BR79" s="381">
        <f ca="1">IF('Data Entry'!$H$5="3.5% Declining",BR66*BR76,BR66/((1+BR77)^BR3))</f>
        <v>0</v>
      </c>
      <c r="BS79" s="381">
        <f ca="1">IF('Data Entry'!$H$5="3.5% Declining",BS66*BS76,BS66/((1+BS77)^BS3))</f>
        <v>0</v>
      </c>
      <c r="BT79" s="381">
        <f ca="1">IF('Data Entry'!$H$5="3.5% Declining",BT66*BT76,BT66/((1+BT77)^BT3))</f>
        <v>0</v>
      </c>
      <c r="BU79" s="381">
        <f ca="1">IF('Data Entry'!$H$5="3.5% Declining",BU66*BU76,BU66/((1+BU77)^BU3))</f>
        <v>0</v>
      </c>
      <c r="BV79" s="381">
        <f ca="1">IF('Data Entry'!$H$5="3.5% Declining",BV66*BV76,BV66/((1+BV77)^BV3))</f>
        <v>0</v>
      </c>
      <c r="BW79" s="381">
        <f ca="1">IF('Data Entry'!$H$5="3.5% Declining",BW66*BW76,BW66/((1+BW77)^BW3))</f>
        <v>0</v>
      </c>
      <c r="BX79" s="381">
        <f ca="1">IF('Data Entry'!$H$5="3.5% Declining",BX66*BX76,BX66/((1+BX77)^BX3))</f>
        <v>0</v>
      </c>
      <c r="BY79" s="381">
        <f ca="1">IF('Data Entry'!$H$5="3.5% Declining",BY66*BY76,BY66/((1+BY77)^BY3))</f>
        <v>0</v>
      </c>
      <c r="BZ79" s="381">
        <f ca="1">IF('Data Entry'!$H$5="3.5% Declining",BZ66*BZ76,BZ66/((1+BZ77)^BZ3))</f>
        <v>0</v>
      </c>
      <c r="CA79" s="556">
        <f ca="1">IF('Data Entry'!$H$5="3.5% Declining",CA66*CA76,CA66/((1+CA77)^CA3))</f>
        <v>0</v>
      </c>
      <c r="CB79" s="381">
        <f ca="1">IF('Data Entry'!$H$5="3.5% Declining",CB66*CB76,CB66/((1+CB77)^CB3))</f>
        <v>0</v>
      </c>
      <c r="CC79" s="381">
        <f ca="1">IF('Data Entry'!$H$5="3.5% Declining",CC66*CC76,CC66/((1+CC77)^CC3))</f>
        <v>0</v>
      </c>
      <c r="CD79" s="381">
        <f ca="1">IF('Data Entry'!$H$5="3.5% Declining",CD66*CD76,CD66/((1+CD77)^CD3))</f>
        <v>0</v>
      </c>
      <c r="CE79" s="381">
        <f ca="1">IF('Data Entry'!$H$5="3.5% Declining",CE66*CE76,CE66/((1+CE77)^CE3))</f>
        <v>0</v>
      </c>
      <c r="CF79" s="381">
        <f ca="1">IF('Data Entry'!$H$5="3.5% Declining",CF66*CF76,CF66/((1+CF77)^CF3))</f>
        <v>0</v>
      </c>
      <c r="CG79" s="381">
        <f ca="1">IF('Data Entry'!$H$5="3.5% Declining",CG66*CG76,CG66/((1+CG77)^CG3))</f>
        <v>0</v>
      </c>
      <c r="CH79" s="381">
        <f ca="1">IF('Data Entry'!$H$5="3.5% Declining",CH66*CH76,CH66/((1+CH77)^CH3))</f>
        <v>0</v>
      </c>
      <c r="CI79" s="381">
        <f ca="1">IF('Data Entry'!$H$5="3.5% Declining",CI66*CI76,CI66/((1+CI77)^CI3))</f>
        <v>0</v>
      </c>
      <c r="CJ79" s="381">
        <f ca="1">IF('Data Entry'!$H$5="3.5% Declining",CJ66*CJ76,CJ66/((1+CJ77)^CJ3))</f>
        <v>0</v>
      </c>
      <c r="CK79" s="381">
        <f ca="1">IF('Data Entry'!$H$5="3.5% Declining",CK66*CK76,CK66/((1+CK77)^CK3))</f>
        <v>0</v>
      </c>
      <c r="CL79" s="381">
        <f ca="1">IF('Data Entry'!$H$5="3.5% Declining",CL66*CL76,CL66/((1+CL77)^CL3))</f>
        <v>0</v>
      </c>
      <c r="CM79" s="381">
        <f ca="1">IF('Data Entry'!$H$5="3.5% Declining",CM66*CM76,CM66/((1+CM77)^CM3))</f>
        <v>0</v>
      </c>
      <c r="CN79" s="381">
        <f ca="1">IF('Data Entry'!$H$5="3.5% Declining",CN66*CN76,CN66/((1+CN77)^CN3))</f>
        <v>0</v>
      </c>
      <c r="CO79" s="381">
        <f ca="1">IF('Data Entry'!$H$5="3.5% Declining",CO66*CO76,CO66/((1+CO77)^CO3))</f>
        <v>0</v>
      </c>
      <c r="CP79" s="381">
        <f ca="1">IF('Data Entry'!$H$5="3.5% Declining",CP66*CP76,CP66/((1+CP77)^CP3))</f>
        <v>0</v>
      </c>
      <c r="CQ79" s="381">
        <f ca="1">IF('Data Entry'!$H$5="3.5% Declining",CQ66*CQ76,CQ66/((1+CQ77)^CQ3))</f>
        <v>0</v>
      </c>
      <c r="CR79" s="381">
        <f ca="1">IF('Data Entry'!$H$5="3.5% Declining",CR66*CR76,CR66/((1+CR77)^CR3))</f>
        <v>0</v>
      </c>
      <c r="CS79" s="381">
        <f ca="1">IF('Data Entry'!$H$5="3.5% Declining",CS66*CS76,CS66/((1+CS77)^CS3))</f>
        <v>0</v>
      </c>
      <c r="CT79" s="381">
        <f ca="1">IF('Data Entry'!$H$5="3.5% Declining",CT66*CT76,CT66/((1+CT77)^CT3))</f>
        <v>0</v>
      </c>
      <c r="CU79" s="381">
        <f ca="1">IF('Data Entry'!$H$5="3.5% Declining",CU66*CU76,CU66/((1+CU77)^CU3))</f>
        <v>0</v>
      </c>
      <c r="CV79" s="381">
        <f ca="1">IF('Data Entry'!$H$5="3.5% Declining",CV66*CV76,CV66/((1+CV77)^CV3))</f>
        <v>0</v>
      </c>
      <c r="CW79" s="381">
        <f ca="1">IF('Data Entry'!$H$5="3.5% Declining",CW66*CW76,CW66/((1+CW77)^CW3))</f>
        <v>0</v>
      </c>
      <c r="CX79" s="381">
        <f ca="1">IF('Data Entry'!$H$5="3.5% Declining",CX66*CX76,CX66/((1+CX77)^CX3))</f>
        <v>0</v>
      </c>
      <c r="CY79" s="563">
        <f ca="1">IF('Data Entry'!$H$5="3.5% Declining",CY66*CY76,CY66/((1+CY77)^CY3))</f>
        <v>0</v>
      </c>
    </row>
    <row r="80" spans="1:103" ht="15" customHeight="1" thickBot="1" x14ac:dyDescent="0.35">
      <c r="A80" s="752" t="s">
        <v>47</v>
      </c>
      <c r="B80" s="753"/>
      <c r="C80" s="754">
        <f ca="1">SUM(D80:CY80)</f>
        <v>1695</v>
      </c>
      <c r="D80" s="382">
        <f ca="1">IF('Data Entry'!$H$5="3.5% Declining",D67*D76,D67/((1+D77)^D3))</f>
        <v>1695</v>
      </c>
      <c r="E80" s="382">
        <f ca="1">IF('Data Entry'!$H$5="3.5% Declining",E67*E76,E67/((1+E77)^E3))</f>
        <v>0</v>
      </c>
      <c r="F80" s="382">
        <f ca="1">IF('Data Entry'!$H$5="3.5% Declining",F67*F76,F67/((1+F77)^F3))</f>
        <v>0</v>
      </c>
      <c r="G80" s="382">
        <f ca="1">IF('Data Entry'!$H$5="3.5% Declining",G67*G76,G67/((1+G77)^G3))</f>
        <v>0</v>
      </c>
      <c r="H80" s="382">
        <f ca="1">IF('Data Entry'!$H$5="3.5% Declining",H67*H76,H67/((1+H77)^H3))</f>
        <v>0</v>
      </c>
      <c r="I80" s="382">
        <f ca="1">IF('Data Entry'!$H$5="3.5% Declining",I67*I76,I67/((1+I77)^I3))</f>
        <v>0</v>
      </c>
      <c r="J80" s="382">
        <f ca="1">IF('Data Entry'!$H$5="3.5% Declining",J67*J76,J67/((1+J77)^J3))</f>
        <v>0</v>
      </c>
      <c r="K80" s="382">
        <f ca="1">IF('Data Entry'!$H$5="3.5% Declining",K67*K76,K67/((1+K77)^K3))</f>
        <v>0</v>
      </c>
      <c r="L80" s="382">
        <f ca="1">IF('Data Entry'!$H$5="3.5% Declining",L67*L76,L67/((1+L77)^L3))</f>
        <v>0</v>
      </c>
      <c r="M80" s="382">
        <f ca="1">IF('Data Entry'!$H$5="3.5% Declining",M67*M76,M67/((1+M77)^M3))</f>
        <v>0</v>
      </c>
      <c r="N80" s="382">
        <f ca="1">IF('Data Entry'!$H$5="3.5% Declining",N67*N76,N67/((1+N77)^N3))</f>
        <v>0</v>
      </c>
      <c r="O80" s="382">
        <f ca="1">IF('Data Entry'!$H$5="3.5% Declining",O67*O76,O67/((1+O77)^O3))</f>
        <v>0</v>
      </c>
      <c r="P80" s="382">
        <f ca="1">IF('Data Entry'!$H$5="3.5% Declining",P67*P76,P67/((1+P77)^P3))</f>
        <v>0</v>
      </c>
      <c r="Q80" s="382">
        <f ca="1">IF('Data Entry'!$H$5="3.5% Declining",Q67*Q76,Q67/((1+Q77)^Q3))</f>
        <v>0</v>
      </c>
      <c r="R80" s="382">
        <f ca="1">IF('Data Entry'!$H$5="3.5% Declining",R67*R76,R67/((1+R77)^R3))</f>
        <v>0</v>
      </c>
      <c r="S80" s="382">
        <f ca="1">IF('Data Entry'!$H$5="3.5% Declining",S67*S76,S67/((1+S77)^S3))</f>
        <v>0</v>
      </c>
      <c r="T80" s="382">
        <f ca="1">IF('Data Entry'!$H$5="3.5% Declining",T67*T76,T67/((1+T77)^T3))</f>
        <v>0</v>
      </c>
      <c r="U80" s="382">
        <f ca="1">IF('Data Entry'!$H$5="3.5% Declining",U67*U76,U67/((1+U77)^U3))</f>
        <v>0</v>
      </c>
      <c r="V80" s="382">
        <f ca="1">IF('Data Entry'!$H$5="3.5% Declining",V67*V76,V67/((1+V77)^V3))</f>
        <v>0</v>
      </c>
      <c r="W80" s="382">
        <f ca="1">IF('Data Entry'!$H$5="3.5% Declining",W67*W76,W67/((1+W77)^W3))</f>
        <v>0</v>
      </c>
      <c r="X80" s="382">
        <f ca="1">IF('Data Entry'!$H$5="3.5% Declining",X67*X76,X67/((1+X77)^X3))</f>
        <v>0</v>
      </c>
      <c r="Y80" s="382">
        <f ca="1">IF('Data Entry'!$H$5="3.5% Declining",Y67*Y76,Y67/((1+Y77)^Y3))</f>
        <v>0</v>
      </c>
      <c r="Z80" s="382">
        <f ca="1">IF('Data Entry'!$H$5="3.5% Declining",Z67*Z76,Z67/((1+Z77)^Z3))</f>
        <v>0</v>
      </c>
      <c r="AA80" s="382">
        <f ca="1">IF('Data Entry'!$H$5="3.5% Declining",AA67*AA76,AA67/((1+AA77)^AA3))</f>
        <v>0</v>
      </c>
      <c r="AB80" s="382">
        <f ca="1">IF('Data Entry'!$H$5="3.5% Declining",AB67*AB76,AB67/((1+AB77)^AB3))</f>
        <v>0</v>
      </c>
      <c r="AC80" s="382">
        <f ca="1">IF('Data Entry'!$H$5="3.5% Declining",AC67*AC76,AC67/((1+AC77)^AC3))</f>
        <v>0</v>
      </c>
      <c r="AD80" s="382">
        <f ca="1">IF('Data Entry'!$H$5="3.5% Declining",AD67*AD76,AD67/((1+AD77)^AD3))</f>
        <v>0</v>
      </c>
      <c r="AE80" s="382">
        <f ca="1">IF('Data Entry'!$H$5="3.5% Declining",AE67*AE76,AE67/((1+AE77)^AE3))</f>
        <v>0</v>
      </c>
      <c r="AF80" s="382">
        <f ca="1">IF('Data Entry'!$H$5="3.5% Declining",AF67*AF76,AF67/((1+AF77)^AF3))</f>
        <v>0</v>
      </c>
      <c r="AG80" s="382">
        <f ca="1">IF('Data Entry'!$H$5="3.5% Declining",AG67*AG76,AG67/((1+AG77)^AG3))</f>
        <v>0</v>
      </c>
      <c r="AH80" s="382">
        <f ca="1">IF('Data Entry'!$H$5="3.5% Declining",AH67*AH76,AH67/((1+AH77)^AH3))</f>
        <v>0</v>
      </c>
      <c r="AI80" s="382">
        <f ca="1">IF('Data Entry'!$H$5="3.5% Declining",AI67*AI76,AI67/((1+AI77)^AI3))</f>
        <v>0</v>
      </c>
      <c r="AJ80" s="382">
        <f ca="1">IF('Data Entry'!$H$5="3.5% Declining",AJ67*AJ76,AJ67/((1+AJ77)^AJ3))</f>
        <v>0</v>
      </c>
      <c r="AK80" s="382">
        <f ca="1">IF('Data Entry'!$H$5="3.5% Declining",AK67*AK76,AK67/((1+AK77)^AK3))</f>
        <v>0</v>
      </c>
      <c r="AL80" s="382">
        <f ca="1">IF('Data Entry'!$H$5="3.5% Declining",AL67*AL76,AL67/((1+AL77)^AL3))</f>
        <v>0</v>
      </c>
      <c r="AM80" s="382">
        <f ca="1">IF('Data Entry'!$H$5="3.5% Declining",AM67*AM76,AM67/((1+AM77)^AM3))</f>
        <v>0</v>
      </c>
      <c r="AN80" s="382">
        <f ca="1">IF('Data Entry'!$H$5="3.5% Declining",AN67*AN76,AN67/((1+AN77)^AN3))</f>
        <v>0</v>
      </c>
      <c r="AO80" s="557">
        <f ca="1">IF('Data Entry'!$H$5="3.5% Declining",AO67*AO76,AO67/((1+AO77)^AO3))</f>
        <v>0</v>
      </c>
      <c r="AP80" s="382">
        <f ca="1">IF('Data Entry'!$H$5="3.5% Declining",AP67*AP76,AP67/((1+AP77)^AP3))</f>
        <v>0</v>
      </c>
      <c r="AQ80" s="382">
        <f ca="1">IF('Data Entry'!$H$5="3.5% Declining",AQ67*AQ76,AQ67/((1+AQ77)^AQ3))</f>
        <v>0</v>
      </c>
      <c r="AR80" s="382">
        <f ca="1">IF('Data Entry'!$H$5="3.5% Declining",AR67*AR76,AR67/((1+AR77)^AR3))</f>
        <v>0</v>
      </c>
      <c r="AS80" s="382">
        <f ca="1">IF('Data Entry'!$H$5="3.5% Declining",AS67*AS76,AS67/((1+AS77)^AS3))</f>
        <v>0</v>
      </c>
      <c r="AT80" s="382">
        <f ca="1">IF('Data Entry'!$H$5="3.5% Declining",AT67*AT76,AT67/((1+AT77)^AT3))</f>
        <v>0</v>
      </c>
      <c r="AU80" s="382">
        <f ca="1">IF('Data Entry'!$H$5="3.5% Declining",AU67*AU76,AU67/((1+AU77)^AU3))</f>
        <v>0</v>
      </c>
      <c r="AV80" s="382">
        <f ca="1">IF('Data Entry'!$H$5="3.5% Declining",AV67*AV76,AV67/((1+AV77)^AV3))</f>
        <v>0</v>
      </c>
      <c r="AW80" s="382">
        <f ca="1">IF('Data Entry'!$H$5="3.5% Declining",AW67*AW76,AW67/((1+AW77)^AW3))</f>
        <v>0</v>
      </c>
      <c r="AX80" s="382">
        <f ca="1">IF('Data Entry'!$H$5="3.5% Declining",AX67*AX76,AX67/((1+AX77)^AX3))</f>
        <v>0</v>
      </c>
      <c r="AY80" s="382">
        <f ca="1">IF('Data Entry'!$H$5="3.5% Declining",AY67*AY76,AY67/((1+AY77)^AY3))</f>
        <v>0</v>
      </c>
      <c r="AZ80" s="382">
        <f ca="1">IF('Data Entry'!$H$5="3.5% Declining",AZ67*AZ76,AZ67/((1+AZ77)^AZ3))</f>
        <v>0</v>
      </c>
      <c r="BA80" s="382">
        <f ca="1">IF('Data Entry'!$H$5="3.5% Declining",BA67*BA76,BA67/((1+BA77)^BA3))</f>
        <v>0</v>
      </c>
      <c r="BB80" s="382">
        <f ca="1">IF('Data Entry'!$H$5="3.5% Declining",BB67*BB76,BB67/((1+BB77)^BB3))</f>
        <v>0</v>
      </c>
      <c r="BC80" s="382">
        <f ca="1">IF('Data Entry'!$H$5="3.5% Declining",BC67*BC76,BC67/((1+BC77)^BC3))</f>
        <v>0</v>
      </c>
      <c r="BD80" s="382">
        <f ca="1">IF('Data Entry'!$H$5="3.5% Declining",BD67*BD76,BD67/((1+BD77)^BD3))</f>
        <v>0</v>
      </c>
      <c r="BE80" s="382">
        <f ca="1">IF('Data Entry'!$H$5="3.5% Declining",BE67*BE76,BE67/((1+BE77)^BE3))</f>
        <v>0</v>
      </c>
      <c r="BF80" s="382">
        <f ca="1">IF('Data Entry'!$H$5="3.5% Declining",BF67*BF76,BF67/((1+BF77)^BF3))</f>
        <v>0</v>
      </c>
      <c r="BG80" s="382">
        <f ca="1">IF('Data Entry'!$H$5="3.5% Declining",BG67*BG76,BG67/((1+BG77)^BG3))</f>
        <v>0</v>
      </c>
      <c r="BH80" s="382">
        <f ca="1">IF('Data Entry'!$H$5="3.5% Declining",BH67*BH76,BH67/((1+BH77)^BH3))</f>
        <v>0</v>
      </c>
      <c r="BI80" s="382">
        <f ca="1">IF('Data Entry'!$H$5="3.5% Declining",BI67*BI76,BI67/((1+BI77)^BI3))</f>
        <v>0</v>
      </c>
      <c r="BJ80" s="382">
        <f ca="1">IF('Data Entry'!$H$5="3.5% Declining",BJ67*BJ76,BJ67/((1+BJ77)^BJ3))</f>
        <v>0</v>
      </c>
      <c r="BK80" s="557">
        <f ca="1">IF('Data Entry'!$H$5="3.5% Declining",BK67*BK76,BK67/((1+BK77)^BK3))</f>
        <v>0</v>
      </c>
      <c r="BL80" s="382">
        <f ca="1">IF('Data Entry'!$H$5="3.5% Declining",BL67*BL76,BL67/((1+BL77)^BL3))</f>
        <v>0</v>
      </c>
      <c r="BM80" s="382">
        <f ca="1">IF('Data Entry'!$H$5="3.5% Declining",BM67*BM76,BM67/((1+BM77)^BM3))</f>
        <v>0</v>
      </c>
      <c r="BN80" s="382">
        <f ca="1">IF('Data Entry'!$H$5="3.5% Declining",BN67*BN76,BN67/((1+BN77)^BN3))</f>
        <v>0</v>
      </c>
      <c r="BO80" s="382">
        <f ca="1">IF('Data Entry'!$H$5="3.5% Declining",BO67*BO76,BO67/((1+BO77)^BO3))</f>
        <v>0</v>
      </c>
      <c r="BP80" s="382">
        <f ca="1">IF('Data Entry'!$H$5="3.5% Declining",BP67*BP76,BP67/((1+BP77)^BP3))</f>
        <v>0</v>
      </c>
      <c r="BQ80" s="382">
        <f ca="1">IF('Data Entry'!$H$5="3.5% Declining",BQ67*BQ76,BQ67/((1+BQ77)^BQ3))</f>
        <v>0</v>
      </c>
      <c r="BR80" s="382">
        <f ca="1">IF('Data Entry'!$H$5="3.5% Declining",BR67*BR76,BR67/((1+BR77)^BR3))</f>
        <v>0</v>
      </c>
      <c r="BS80" s="382">
        <f ca="1">IF('Data Entry'!$H$5="3.5% Declining",BS67*BS76,BS67/((1+BS77)^BS3))</f>
        <v>0</v>
      </c>
      <c r="BT80" s="382">
        <f ca="1">IF('Data Entry'!$H$5="3.5% Declining",BT67*BT76,BT67/((1+BT77)^BT3))</f>
        <v>0</v>
      </c>
      <c r="BU80" s="382">
        <f ca="1">IF('Data Entry'!$H$5="3.5% Declining",BU67*BU76,BU67/((1+BU77)^BU3))</f>
        <v>0</v>
      </c>
      <c r="BV80" s="382">
        <f ca="1">IF('Data Entry'!$H$5="3.5% Declining",BV67*BV76,BV67/((1+BV77)^BV3))</f>
        <v>0</v>
      </c>
      <c r="BW80" s="382">
        <f ca="1">IF('Data Entry'!$H$5="3.5% Declining",BW67*BW76,BW67/((1+BW77)^BW3))</f>
        <v>0</v>
      </c>
      <c r="BX80" s="382">
        <f ca="1">IF('Data Entry'!$H$5="3.5% Declining",BX67*BX76,BX67/((1+BX77)^BX3))</f>
        <v>0</v>
      </c>
      <c r="BY80" s="382">
        <f ca="1">IF('Data Entry'!$H$5="3.5% Declining",BY67*BY76,BY67/((1+BY77)^BY3))</f>
        <v>0</v>
      </c>
      <c r="BZ80" s="382">
        <f ca="1">IF('Data Entry'!$H$5="3.5% Declining",BZ67*BZ76,BZ67/((1+BZ77)^BZ3))</f>
        <v>0</v>
      </c>
      <c r="CA80" s="557">
        <f ca="1">IF('Data Entry'!$H$5="3.5% Declining",CA67*CA76,CA67/((1+CA77)^CA3))</f>
        <v>0</v>
      </c>
      <c r="CB80" s="382">
        <f ca="1">IF('Data Entry'!$H$5="3.5% Declining",CB67*CB76,CB67/((1+CB77)^CB3))</f>
        <v>0</v>
      </c>
      <c r="CC80" s="382">
        <f ca="1">IF('Data Entry'!$H$5="3.5% Declining",CC67*CC76,CC67/((1+CC77)^CC3))</f>
        <v>0</v>
      </c>
      <c r="CD80" s="382">
        <f ca="1">IF('Data Entry'!$H$5="3.5% Declining",CD67*CD76,CD67/((1+CD77)^CD3))</f>
        <v>0</v>
      </c>
      <c r="CE80" s="382">
        <f ca="1">IF('Data Entry'!$H$5="3.5% Declining",CE67*CE76,CE67/((1+CE77)^CE3))</f>
        <v>0</v>
      </c>
      <c r="CF80" s="382">
        <f ca="1">IF('Data Entry'!$H$5="3.5% Declining",CF67*CF76,CF67/((1+CF77)^CF3))</f>
        <v>0</v>
      </c>
      <c r="CG80" s="382">
        <f ca="1">IF('Data Entry'!$H$5="3.5% Declining",CG67*CG76,CG67/((1+CG77)^CG3))</f>
        <v>0</v>
      </c>
      <c r="CH80" s="382">
        <f ca="1">IF('Data Entry'!$H$5="3.5% Declining",CH67*CH76,CH67/((1+CH77)^CH3))</f>
        <v>0</v>
      </c>
      <c r="CI80" s="382">
        <f ca="1">IF('Data Entry'!$H$5="3.5% Declining",CI67*CI76,CI67/((1+CI77)^CI3))</f>
        <v>0</v>
      </c>
      <c r="CJ80" s="382">
        <f ca="1">IF('Data Entry'!$H$5="3.5% Declining",CJ67*CJ76,CJ67/((1+CJ77)^CJ3))</f>
        <v>0</v>
      </c>
      <c r="CK80" s="382">
        <f ca="1">IF('Data Entry'!$H$5="3.5% Declining",CK67*CK76,CK67/((1+CK77)^CK3))</f>
        <v>0</v>
      </c>
      <c r="CL80" s="382">
        <f ca="1">IF('Data Entry'!$H$5="3.5% Declining",CL67*CL76,CL67/((1+CL77)^CL3))</f>
        <v>0</v>
      </c>
      <c r="CM80" s="382">
        <f ca="1">IF('Data Entry'!$H$5="3.5% Declining",CM67*CM76,CM67/((1+CM77)^CM3))</f>
        <v>0</v>
      </c>
      <c r="CN80" s="382">
        <f ca="1">IF('Data Entry'!$H$5="3.5% Declining",CN67*CN76,CN67/((1+CN77)^CN3))</f>
        <v>0</v>
      </c>
      <c r="CO80" s="382">
        <f ca="1">IF('Data Entry'!$H$5="3.5% Declining",CO67*CO76,CO67/((1+CO77)^CO3))</f>
        <v>0</v>
      </c>
      <c r="CP80" s="382">
        <f ca="1">IF('Data Entry'!$H$5="3.5% Declining",CP67*CP76,CP67/((1+CP77)^CP3))</f>
        <v>0</v>
      </c>
      <c r="CQ80" s="382">
        <f ca="1">IF('Data Entry'!$H$5="3.5% Declining",CQ67*CQ76,CQ67/((1+CQ77)^CQ3))</f>
        <v>0</v>
      </c>
      <c r="CR80" s="382">
        <f ca="1">IF('Data Entry'!$H$5="3.5% Declining",CR67*CR76,CR67/((1+CR77)^CR3))</f>
        <v>0</v>
      </c>
      <c r="CS80" s="382">
        <f ca="1">IF('Data Entry'!$H$5="3.5% Declining",CS67*CS76,CS67/((1+CS77)^CS3))</f>
        <v>0</v>
      </c>
      <c r="CT80" s="382">
        <f ca="1">IF('Data Entry'!$H$5="3.5% Declining",CT67*CT76,CT67/((1+CT77)^CT3))</f>
        <v>0</v>
      </c>
      <c r="CU80" s="382">
        <f ca="1">IF('Data Entry'!$H$5="3.5% Declining",CU67*CU76,CU67/((1+CU77)^CU3))</f>
        <v>0</v>
      </c>
      <c r="CV80" s="382">
        <f ca="1">IF('Data Entry'!$H$5="3.5% Declining",CV67*CV76,CV67/((1+CV77)^CV3))</f>
        <v>0</v>
      </c>
      <c r="CW80" s="382">
        <f ca="1">IF('Data Entry'!$H$5="3.5% Declining",CW67*CW76,CW67/((1+CW77)^CW3))</f>
        <v>0</v>
      </c>
      <c r="CX80" s="382">
        <f ca="1">IF('Data Entry'!$H$5="3.5% Declining",CX67*CX76,CX67/((1+CX77)^CX3))</f>
        <v>0</v>
      </c>
      <c r="CY80" s="564">
        <f ca="1">IF('Data Entry'!$H$5="3.5% Declining",CY67*CY76,CY67/((1+CY77)^CY3))</f>
        <v>0</v>
      </c>
    </row>
    <row r="81" spans="1:103" ht="15" customHeight="1" thickBot="1" x14ac:dyDescent="0.35">
      <c r="A81" s="732"/>
      <c r="B81" s="723"/>
      <c r="C81" s="72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5"/>
      <c r="AP81" s="4"/>
      <c r="AQ81" s="4"/>
      <c r="AR81" s="4"/>
      <c r="AS81" s="4"/>
      <c r="AT81" s="4"/>
      <c r="AU81" s="4"/>
      <c r="AV81" s="4"/>
      <c r="AW81" s="4"/>
      <c r="AX81" s="4"/>
      <c r="AY81" s="4"/>
      <c r="AZ81" s="4"/>
      <c r="BA81" s="4"/>
      <c r="BB81" s="4"/>
      <c r="BC81" s="4"/>
      <c r="BD81" s="4"/>
      <c r="BE81" s="4"/>
      <c r="BF81" s="4"/>
      <c r="BG81" s="4"/>
      <c r="BH81" s="4"/>
      <c r="BI81" s="4"/>
      <c r="BJ81" s="4"/>
      <c r="BK81" s="45"/>
      <c r="BL81" s="4"/>
      <c r="BM81" s="4"/>
      <c r="BN81" s="4"/>
      <c r="BO81" s="4"/>
      <c r="BP81" s="4"/>
      <c r="BQ81" s="4"/>
      <c r="BR81" s="4"/>
      <c r="BS81" s="4"/>
      <c r="BT81" s="4"/>
      <c r="BU81" s="4"/>
      <c r="BV81" s="4"/>
      <c r="BW81" s="4"/>
      <c r="BX81" s="4"/>
      <c r="BY81" s="4"/>
      <c r="BZ81" s="4"/>
      <c r="CA81" s="45"/>
      <c r="CB81" s="4"/>
      <c r="CC81" s="4"/>
      <c r="CD81" s="4"/>
      <c r="CE81" s="4"/>
      <c r="CF81" s="4"/>
      <c r="CG81" s="4"/>
      <c r="CH81" s="4"/>
      <c r="CI81" s="4"/>
      <c r="CJ81" s="4"/>
      <c r="CK81" s="4"/>
      <c r="CL81" s="4"/>
      <c r="CM81" s="4"/>
      <c r="CN81" s="4"/>
      <c r="CO81" s="4"/>
      <c r="CP81" s="4"/>
      <c r="CQ81" s="4"/>
      <c r="CR81" s="4"/>
      <c r="CS81" s="4"/>
      <c r="CT81" s="4"/>
      <c r="CU81" s="4"/>
      <c r="CV81" s="4"/>
      <c r="CW81" s="4"/>
      <c r="CX81" s="4"/>
      <c r="CY81" s="576"/>
    </row>
    <row r="82" spans="1:103" ht="15" customHeight="1" x14ac:dyDescent="0.3">
      <c r="A82" s="755" t="s">
        <v>59</v>
      </c>
      <c r="B82" s="756"/>
      <c r="C82" s="757">
        <f t="shared" ref="C82:C94" si="43">SUM(D82:CY82)</f>
        <v>0</v>
      </c>
      <c r="D82" s="383">
        <f>IF('Data Entry'!$H$5="3.5% Declining",D50*D76,D50/((1+D$77)^D$3))</f>
        <v>0</v>
      </c>
      <c r="E82" s="383">
        <f>IF('Data Entry'!$H$5="3.5% Declining",E50*E76,E50/((1+E$77)^E$3))</f>
        <v>0</v>
      </c>
      <c r="F82" s="383">
        <f>IF('Data Entry'!$H$5="3.5% Declining",F50*F76,F50/((1+F$77)^F$3))</f>
        <v>0</v>
      </c>
      <c r="G82" s="383">
        <f>IF('Data Entry'!$H$5="3.5% Declining",G50*G76,G50/((1+G$77)^G$3))</f>
        <v>0</v>
      </c>
      <c r="H82" s="383">
        <f>IF('Data Entry'!$H$5="3.5% Declining",H50*H76,H50/((1+H$77)^H$3))</f>
        <v>0</v>
      </c>
      <c r="I82" s="383">
        <f>IF('Data Entry'!$H$5="3.5% Declining",I50*I76,I50/((1+I$77)^I$3))</f>
        <v>0</v>
      </c>
      <c r="J82" s="383">
        <f>IF('Data Entry'!$H$5="3.5% Declining",J50*J76,J50/((1+J$77)^J$3))</f>
        <v>0</v>
      </c>
      <c r="K82" s="383">
        <f>IF('Data Entry'!$H$5="3.5% Declining",K50*K76,K50/((1+K$77)^K$3))</f>
        <v>0</v>
      </c>
      <c r="L82" s="383">
        <f>IF('Data Entry'!$H$5="3.5% Declining",L50*L76,L50/((1+L$77)^L$3))</f>
        <v>0</v>
      </c>
      <c r="M82" s="383">
        <f>IF('Data Entry'!$H$5="3.5% Declining",M50*M76,M50/((1+M$77)^M$3))</f>
        <v>0</v>
      </c>
      <c r="N82" s="383">
        <f>IF('Data Entry'!$H$5="3.5% Declining",N50*N76,N50/((1+N$77)^N$3))</f>
        <v>0</v>
      </c>
      <c r="O82" s="383">
        <f>IF('Data Entry'!$H$5="3.5% Declining",O50*O76,O50/((1+O$77)^O$3))</f>
        <v>0</v>
      </c>
      <c r="P82" s="383">
        <f>IF('Data Entry'!$H$5="3.5% Declining",P50*P76,P50/((1+P$77)^P$3))</f>
        <v>0</v>
      </c>
      <c r="Q82" s="383">
        <f>IF('Data Entry'!$H$5="3.5% Declining",Q50*Q76,Q50/((1+Q$77)^Q$3))</f>
        <v>0</v>
      </c>
      <c r="R82" s="383">
        <f>IF('Data Entry'!$H$5="3.5% Declining",R50*R76,R50/((1+R$77)^R$3))</f>
        <v>0</v>
      </c>
      <c r="S82" s="383">
        <f>IF('Data Entry'!$H$5="3.5% Declining",S50*S76,S50/((1+S$77)^S$3))</f>
        <v>0</v>
      </c>
      <c r="T82" s="383">
        <f>IF('Data Entry'!$H$5="3.5% Declining",T50*T76,T50/((1+T$77)^T$3))</f>
        <v>0</v>
      </c>
      <c r="U82" s="383">
        <f>IF('Data Entry'!$H$5="3.5% Declining",U50*U76,U50/((1+U$77)^U$3))</f>
        <v>0</v>
      </c>
      <c r="V82" s="383">
        <f>IF('Data Entry'!$H$5="3.5% Declining",V50*V76,V50/((1+V$77)^V$3))</f>
        <v>0</v>
      </c>
      <c r="W82" s="383">
        <f>IF('Data Entry'!$H$5="3.5% Declining",W50*W76,W50/((1+W$77)^W$3))</f>
        <v>0</v>
      </c>
      <c r="X82" s="383">
        <f>IF('Data Entry'!$H$5="3.5% Declining",X50*X76,X50/((1+X$77)^X$3))</f>
        <v>0</v>
      </c>
      <c r="Y82" s="383">
        <f>IF('Data Entry'!$H$5="3.5% Declining",Y50*Y76,Y50/((1+Y$77)^Y$3))</f>
        <v>0</v>
      </c>
      <c r="Z82" s="383">
        <f>IF('Data Entry'!$H$5="3.5% Declining",Z50*Z76,Z50/((1+Z$77)^Z$3))</f>
        <v>0</v>
      </c>
      <c r="AA82" s="383">
        <f>IF('Data Entry'!$H$5="3.5% Declining",AA50*AA76,AA50/((1+AA$77)^AA$3))</f>
        <v>0</v>
      </c>
      <c r="AB82" s="383">
        <f>IF('Data Entry'!$H$5="3.5% Declining",AB50*AB76,AB50/((1+AB$77)^AB$3))</f>
        <v>0</v>
      </c>
      <c r="AC82" s="383">
        <f>IF('Data Entry'!$H$5="3.5% Declining",AC50*AC76,AC50/((1+AC$77)^AC$3))</f>
        <v>0</v>
      </c>
      <c r="AD82" s="383">
        <f>IF('Data Entry'!$H$5="3.5% Declining",AD50*AD76,AD50/((1+AD$77)^AD$3))</f>
        <v>0</v>
      </c>
      <c r="AE82" s="383">
        <f>IF('Data Entry'!$H$5="3.5% Declining",AE50*AE76,AE50/((1+AE$77)^AE$3))</f>
        <v>0</v>
      </c>
      <c r="AF82" s="383">
        <f>IF('Data Entry'!$H$5="3.5% Declining",AF50*AF76,AF50/((1+AF$77)^AF$3))</f>
        <v>0</v>
      </c>
      <c r="AG82" s="383">
        <f>IF('Data Entry'!$H$5="3.5% Declining",AG50*AG76,AG50/((1+AG$77)^AG$3))</f>
        <v>0</v>
      </c>
      <c r="AH82" s="383">
        <f>IF('Data Entry'!$H$5="3.5% Declining",AH50*AH76,AH50/((1+AH$77)^AH$3))</f>
        <v>0</v>
      </c>
      <c r="AI82" s="383">
        <f>IF('Data Entry'!$H$5="3.5% Declining",AI50*AI76,AI50/((1+AI$77)^AI$3))</f>
        <v>0</v>
      </c>
      <c r="AJ82" s="383">
        <f>IF('Data Entry'!$H$5="3.5% Declining",AJ50*AJ76,AJ50/((1+AJ$77)^AJ$3))</f>
        <v>0</v>
      </c>
      <c r="AK82" s="383">
        <f>IF('Data Entry'!$H$5="3.5% Declining",AK50*AK76,AK50/((1+AK$77)^AK$3))</f>
        <v>0</v>
      </c>
      <c r="AL82" s="383">
        <f>IF('Data Entry'!$H$5="3.5% Declining",AL50*AL76,AL50/((1+AL$77)^AL$3))</f>
        <v>0</v>
      </c>
      <c r="AM82" s="383">
        <f>IF('Data Entry'!$H$5="3.5% Declining",AM50*AM76,AM50/((1+AM$77)^AM$3))</f>
        <v>0</v>
      </c>
      <c r="AN82" s="383">
        <f>IF('Data Entry'!$H$5="3.5% Declining",AN50*AN76,AN50/((1+AN$77)^AN$3))</f>
        <v>0</v>
      </c>
      <c r="AO82" s="558">
        <f>IF('Data Entry'!$H$5="3.5% Declining",AO50*AO76,AO50/((1+AO$77)^AO$3))</f>
        <v>0</v>
      </c>
      <c r="AP82" s="383">
        <f>IF('Data Entry'!$H$5="3.5% Declining",AP50*AP76,AP50/((1+AP$77)^AP$3))</f>
        <v>0</v>
      </c>
      <c r="AQ82" s="383">
        <f>IF('Data Entry'!$H$5="3.5% Declining",AQ50*AQ76,AQ50/((1+AQ$77)^AQ$3))</f>
        <v>0</v>
      </c>
      <c r="AR82" s="383">
        <f>IF('Data Entry'!$H$5="3.5% Declining",AR50*AR76,AR50/((1+AR$77)^AR$3))</f>
        <v>0</v>
      </c>
      <c r="AS82" s="383">
        <f>IF('Data Entry'!$H$5="3.5% Declining",AS50*AS76,AS50/((1+AS$77)^AS$3))</f>
        <v>0</v>
      </c>
      <c r="AT82" s="383">
        <f>IF('Data Entry'!$H$5="3.5% Declining",AT50*AT76,AT50/((1+AT$77)^AT$3))</f>
        <v>0</v>
      </c>
      <c r="AU82" s="383">
        <f>IF('Data Entry'!$H$5="3.5% Declining",AU50*AU76,AU50/((1+AU$77)^AU$3))</f>
        <v>0</v>
      </c>
      <c r="AV82" s="383">
        <f>IF('Data Entry'!$H$5="3.5% Declining",AV50*AV76,AV50/((1+AV$77)^AV$3))</f>
        <v>0</v>
      </c>
      <c r="AW82" s="383">
        <f>IF('Data Entry'!$H$5="3.5% Declining",AW50*AW76,AW50/((1+AW$77)^AW$3))</f>
        <v>0</v>
      </c>
      <c r="AX82" s="383">
        <f>IF('Data Entry'!$H$5="3.5% Declining",AX50*AX76,AX50/((1+AX$77)^AX$3))</f>
        <v>0</v>
      </c>
      <c r="AY82" s="383">
        <f>IF('Data Entry'!$H$5="3.5% Declining",AY50*AY76,AY50/((1+AY$77)^AY$3))</f>
        <v>0</v>
      </c>
      <c r="AZ82" s="383">
        <f>IF('Data Entry'!$H$5="3.5% Declining",AZ50*AZ76,AZ50/((1+AZ$77)^AZ$3))</f>
        <v>0</v>
      </c>
      <c r="BA82" s="383">
        <f>IF('Data Entry'!$H$5="3.5% Declining",BA50*BA76,BA50/((1+BA$77)^BA$3))</f>
        <v>0</v>
      </c>
      <c r="BB82" s="383">
        <f>IF('Data Entry'!$H$5="3.5% Declining",BB50*BB76,BB50/((1+BB$77)^BB$3))</f>
        <v>0</v>
      </c>
      <c r="BC82" s="383">
        <f>IF('Data Entry'!$H$5="3.5% Declining",BC50*BC76,BC50/((1+BC$77)^BC$3))</f>
        <v>0</v>
      </c>
      <c r="BD82" s="383">
        <f>IF('Data Entry'!$H$5="3.5% Declining",BD50*BD76,BD50/((1+BD$77)^BD$3))</f>
        <v>0</v>
      </c>
      <c r="BE82" s="383">
        <f>IF('Data Entry'!$H$5="3.5% Declining",BE50*BE76,BE50/((1+BE$77)^BE$3))</f>
        <v>0</v>
      </c>
      <c r="BF82" s="383">
        <f>IF('Data Entry'!$H$5="3.5% Declining",BF50*BF76,BF50/((1+BF$77)^BF$3))</f>
        <v>0</v>
      </c>
      <c r="BG82" s="383">
        <f>IF('Data Entry'!$H$5="3.5% Declining",BG50*BG76,BG50/((1+BG$77)^BG$3))</f>
        <v>0</v>
      </c>
      <c r="BH82" s="383">
        <f>IF('Data Entry'!$H$5="3.5% Declining",BH50*BH76,BH50/((1+BH$77)^BH$3))</f>
        <v>0</v>
      </c>
      <c r="BI82" s="383">
        <f>IF('Data Entry'!$H$5="3.5% Declining",BI50*BI76,BI50/((1+BI$77)^BI$3))</f>
        <v>0</v>
      </c>
      <c r="BJ82" s="383">
        <f>IF('Data Entry'!$H$5="3.5% Declining",BJ50*BJ76,BJ50/((1+BJ$77)^BJ$3))</f>
        <v>0</v>
      </c>
      <c r="BK82" s="558">
        <f>IF('Data Entry'!$H$5="3.5% Declining",BK50*BK76,BK50/((1+BK$77)^BK$3))</f>
        <v>0</v>
      </c>
      <c r="BL82" s="383">
        <f>IF('Data Entry'!$H$5="3.5% Declining",BL50*BL76,BL50/((1+BL$77)^BL$3))</f>
        <v>0</v>
      </c>
      <c r="BM82" s="383">
        <f>IF('Data Entry'!$H$5="3.5% Declining",BM50*BM76,BM50/((1+BM$77)^BM$3))</f>
        <v>0</v>
      </c>
      <c r="BN82" s="383">
        <f>IF('Data Entry'!$H$5="3.5% Declining",BN50*BN76,BN50/((1+BN$77)^BN$3))</f>
        <v>0</v>
      </c>
      <c r="BO82" s="383">
        <f>IF('Data Entry'!$H$5="3.5% Declining",BO50*BO76,BO50/((1+BO$77)^BO$3))</f>
        <v>0</v>
      </c>
      <c r="BP82" s="383">
        <f>IF('Data Entry'!$H$5="3.5% Declining",BP50*BP76,BP50/((1+BP$77)^BP$3))</f>
        <v>0</v>
      </c>
      <c r="BQ82" s="383">
        <f>IF('Data Entry'!$H$5="3.5% Declining",BQ50*BQ76,BQ50/((1+BQ$77)^BQ$3))</f>
        <v>0</v>
      </c>
      <c r="BR82" s="383">
        <f>IF('Data Entry'!$H$5="3.5% Declining",BR50*BR76,BR50/((1+BR$77)^BR$3))</f>
        <v>0</v>
      </c>
      <c r="BS82" s="383">
        <f>IF('Data Entry'!$H$5="3.5% Declining",BS50*BS76,BS50/((1+BS$77)^BS$3))</f>
        <v>0</v>
      </c>
      <c r="BT82" s="383">
        <f>IF('Data Entry'!$H$5="3.5% Declining",BT50*BT76,BT50/((1+BT$77)^BT$3))</f>
        <v>0</v>
      </c>
      <c r="BU82" s="383">
        <f>IF('Data Entry'!$H$5="3.5% Declining",BU50*BU76,BU50/((1+BU$77)^BU$3))</f>
        <v>0</v>
      </c>
      <c r="BV82" s="383">
        <f>IF('Data Entry'!$H$5="3.5% Declining",BV50*BV76,BV50/((1+BV$77)^BV$3))</f>
        <v>0</v>
      </c>
      <c r="BW82" s="383">
        <f>IF('Data Entry'!$H$5="3.5% Declining",BW50*BW76,BW50/((1+BW$77)^BW$3))</f>
        <v>0</v>
      </c>
      <c r="BX82" s="383">
        <f>IF('Data Entry'!$H$5="3.5% Declining",BX50*BX76,BX50/((1+BX$77)^BX$3))</f>
        <v>0</v>
      </c>
      <c r="BY82" s="383">
        <f>IF('Data Entry'!$H$5="3.5% Declining",BY50*BY76,BY50/((1+BY$77)^BY$3))</f>
        <v>0</v>
      </c>
      <c r="BZ82" s="383">
        <f>IF('Data Entry'!$H$5="3.5% Declining",BZ50*BZ76,BZ50/((1+BZ$77)^BZ$3))</f>
        <v>0</v>
      </c>
      <c r="CA82" s="558">
        <f>IF('Data Entry'!$H$5="3.5% Declining",CA50*CA76,CA50/((1+CA$77)^CA$3))</f>
        <v>0</v>
      </c>
      <c r="CB82" s="383">
        <f>IF('Data Entry'!$H$5="3.5% Declining",CB50*CB76,CB50/((1+CB$77)^CB$3))</f>
        <v>0</v>
      </c>
      <c r="CC82" s="383">
        <f>IF('Data Entry'!$H$5="3.5% Declining",CC50*CC76,CC50/((1+CC$77)^CC$3))</f>
        <v>0</v>
      </c>
      <c r="CD82" s="383">
        <f>IF('Data Entry'!$H$5="3.5% Declining",CD50*CD76,CD50/((1+CD$77)^CD$3))</f>
        <v>0</v>
      </c>
      <c r="CE82" s="383">
        <f>IF('Data Entry'!$H$5="3.5% Declining",CE50*CE76,CE50/((1+CE$77)^CE$3))</f>
        <v>0</v>
      </c>
      <c r="CF82" s="383">
        <f>IF('Data Entry'!$H$5="3.5% Declining",CF50*CF76,CF50/((1+CF$77)^CF$3))</f>
        <v>0</v>
      </c>
      <c r="CG82" s="383">
        <f>IF('Data Entry'!$H$5="3.5% Declining",CG50*CG76,CG50/((1+CG$77)^CG$3))</f>
        <v>0</v>
      </c>
      <c r="CH82" s="383">
        <f>IF('Data Entry'!$H$5="3.5% Declining",CH50*CH76,CH50/((1+CH$77)^CH$3))</f>
        <v>0</v>
      </c>
      <c r="CI82" s="383">
        <f>IF('Data Entry'!$H$5="3.5% Declining",CI50*CI76,CI50/((1+CI$77)^CI$3))</f>
        <v>0</v>
      </c>
      <c r="CJ82" s="383">
        <f>IF('Data Entry'!$H$5="3.5% Declining",CJ50*CJ76,CJ50/((1+CJ$77)^CJ$3))</f>
        <v>0</v>
      </c>
      <c r="CK82" s="383">
        <f>IF('Data Entry'!$H$5="3.5% Declining",CK50*CK76,CK50/((1+CK$77)^CK$3))</f>
        <v>0</v>
      </c>
      <c r="CL82" s="383">
        <f>IF('Data Entry'!$H$5="3.5% Declining",CL50*CL76,CL50/((1+CL$77)^CL$3))</f>
        <v>0</v>
      </c>
      <c r="CM82" s="383">
        <f>IF('Data Entry'!$H$5="3.5% Declining",CM50*CM76,CM50/((1+CM$77)^CM$3))</f>
        <v>0</v>
      </c>
      <c r="CN82" s="383">
        <f>IF('Data Entry'!$H$5="3.5% Declining",CN50*CN76,CN50/((1+CN$77)^CN$3))</f>
        <v>0</v>
      </c>
      <c r="CO82" s="383">
        <f>IF('Data Entry'!$H$5="3.5% Declining",CO50*CO76,CO50/((1+CO$77)^CO$3))</f>
        <v>0</v>
      </c>
      <c r="CP82" s="383">
        <f>IF('Data Entry'!$H$5="3.5% Declining",CP50*CP76,CP50/((1+CP$77)^CP$3))</f>
        <v>0</v>
      </c>
      <c r="CQ82" s="383">
        <f>IF('Data Entry'!$H$5="3.5% Declining",CQ50*CQ76,CQ50/((1+CQ$77)^CQ$3))</f>
        <v>0</v>
      </c>
      <c r="CR82" s="383">
        <f>IF('Data Entry'!$H$5="3.5% Declining",CR50*CR76,CR50/((1+CR$77)^CR$3))</f>
        <v>0</v>
      </c>
      <c r="CS82" s="383">
        <f>IF('Data Entry'!$H$5="3.5% Declining",CS50*CS76,CS50/((1+CS$77)^CS$3))</f>
        <v>0</v>
      </c>
      <c r="CT82" s="383">
        <f>IF('Data Entry'!$H$5="3.5% Declining",CT50*CT76,CT50/((1+CT$77)^CT$3))</f>
        <v>0</v>
      </c>
      <c r="CU82" s="383">
        <f>IF('Data Entry'!$H$5="3.5% Declining",CU50*CU76,CU50/((1+CU$77)^CU$3))</f>
        <v>0</v>
      </c>
      <c r="CV82" s="383">
        <f>IF('Data Entry'!$H$5="3.5% Declining",CV50*CV76,CV50/((1+CV$77)^CV$3))</f>
        <v>0</v>
      </c>
      <c r="CW82" s="383">
        <f>IF('Data Entry'!$H$5="3.5% Declining",CW50*CW76,CW50/((1+CW$77)^CW$3))</f>
        <v>0</v>
      </c>
      <c r="CX82" s="383">
        <f>IF('Data Entry'!$H$5="3.5% Declining",CX50*CX76,CX50/((1+CX$77)^CX$3))</f>
        <v>0</v>
      </c>
      <c r="CY82" s="565">
        <f>IF('Data Entry'!$H$5="3.5% Declining",CY50*CY76,CY50/((1+CY$77)^CY$3))</f>
        <v>0</v>
      </c>
    </row>
    <row r="83" spans="1:103" ht="15" customHeight="1" x14ac:dyDescent="0.3">
      <c r="A83" s="758" t="s">
        <v>58</v>
      </c>
      <c r="B83" s="759"/>
      <c r="C83" s="760">
        <f t="shared" si="43"/>
        <v>0</v>
      </c>
      <c r="D83" s="384">
        <f>IF('Data Entry'!$H$5="3.5% Declining",D51*D76,D51/((1+D$77)^D$3))</f>
        <v>0</v>
      </c>
      <c r="E83" s="384">
        <f>IF('Data Entry'!$H$5="3.5% Declining",E51*E76,E51/((1+E$77)^E$3))</f>
        <v>0</v>
      </c>
      <c r="F83" s="384">
        <f>IF('Data Entry'!$H$5="3.5% Declining",F51*F76,F51/((1+F$77)^F$3))</f>
        <v>0</v>
      </c>
      <c r="G83" s="384">
        <f>IF('Data Entry'!$H$5="3.5% Declining",G51*G76,G51/((1+G$77)^G$3))</f>
        <v>0</v>
      </c>
      <c r="H83" s="384">
        <f>IF('Data Entry'!$H$5="3.5% Declining",H51*H76,H51/((1+H$77)^H$3))</f>
        <v>0</v>
      </c>
      <c r="I83" s="384">
        <f>IF('Data Entry'!$H$5="3.5% Declining",I51*I76,I51/((1+I$77)^I$3))</f>
        <v>0</v>
      </c>
      <c r="J83" s="384">
        <f>IF('Data Entry'!$H$5="3.5% Declining",J51*J76,J51/((1+J$77)^J$3))</f>
        <v>0</v>
      </c>
      <c r="K83" s="384">
        <f>IF('Data Entry'!$H$5="3.5% Declining",K51*K76,K51/((1+K$77)^K$3))</f>
        <v>0</v>
      </c>
      <c r="L83" s="384">
        <f>IF('Data Entry'!$H$5="3.5% Declining",L51*L76,L51/((1+L$77)^L$3))</f>
        <v>0</v>
      </c>
      <c r="M83" s="384">
        <f>IF('Data Entry'!$H$5="3.5% Declining",M51*M76,M51/((1+M$77)^M$3))</f>
        <v>0</v>
      </c>
      <c r="N83" s="384">
        <f>IF('Data Entry'!$H$5="3.5% Declining",N51*N76,N51/((1+N$77)^N$3))</f>
        <v>0</v>
      </c>
      <c r="O83" s="384">
        <f>IF('Data Entry'!$H$5="3.5% Declining",O51*O76,O51/((1+O$77)^O$3))</f>
        <v>0</v>
      </c>
      <c r="P83" s="384">
        <f>IF('Data Entry'!$H$5="3.5% Declining",P51*P76,P51/((1+P$77)^P$3))</f>
        <v>0</v>
      </c>
      <c r="Q83" s="384">
        <f>IF('Data Entry'!$H$5="3.5% Declining",Q51*Q76,Q51/((1+Q$77)^Q$3))</f>
        <v>0</v>
      </c>
      <c r="R83" s="384">
        <f>IF('Data Entry'!$H$5="3.5% Declining",R51*R76,R51/((1+R$77)^R$3))</f>
        <v>0</v>
      </c>
      <c r="S83" s="384">
        <f>IF('Data Entry'!$H$5="3.5% Declining",S51*S76,S51/((1+S$77)^S$3))</f>
        <v>0</v>
      </c>
      <c r="T83" s="384">
        <f>IF('Data Entry'!$H$5="3.5% Declining",T51*T76,T51/((1+T$77)^T$3))</f>
        <v>0</v>
      </c>
      <c r="U83" s="384">
        <f>IF('Data Entry'!$H$5="3.5% Declining",U51*U76,U51/((1+U$77)^U$3))</f>
        <v>0</v>
      </c>
      <c r="V83" s="384">
        <f>IF('Data Entry'!$H$5="3.5% Declining",V51*V76,V51/((1+V$77)^V$3))</f>
        <v>0</v>
      </c>
      <c r="W83" s="384">
        <f>IF('Data Entry'!$H$5="3.5% Declining",W51*W76,W51/((1+W$77)^W$3))</f>
        <v>0</v>
      </c>
      <c r="X83" s="384">
        <f>IF('Data Entry'!$H$5="3.5% Declining",X51*X76,X51/((1+X$77)^X$3))</f>
        <v>0</v>
      </c>
      <c r="Y83" s="384">
        <f>IF('Data Entry'!$H$5="3.5% Declining",Y51*Y76,Y51/((1+Y$77)^Y$3))</f>
        <v>0</v>
      </c>
      <c r="Z83" s="384">
        <f>IF('Data Entry'!$H$5="3.5% Declining",Z51*Z76,Z51/((1+Z$77)^Z$3))</f>
        <v>0</v>
      </c>
      <c r="AA83" s="384">
        <f>IF('Data Entry'!$H$5="3.5% Declining",AA51*AA76,AA51/((1+AA$77)^AA$3))</f>
        <v>0</v>
      </c>
      <c r="AB83" s="384">
        <f>IF('Data Entry'!$H$5="3.5% Declining",AB51*AB76,AB51/((1+AB$77)^AB$3))</f>
        <v>0</v>
      </c>
      <c r="AC83" s="384">
        <f>IF('Data Entry'!$H$5="3.5% Declining",AC51*AC76,AC51/((1+AC$77)^AC$3))</f>
        <v>0</v>
      </c>
      <c r="AD83" s="384">
        <f>IF('Data Entry'!$H$5="3.5% Declining",AD51*AD76,AD51/((1+AD$77)^AD$3))</f>
        <v>0</v>
      </c>
      <c r="AE83" s="384">
        <f>IF('Data Entry'!$H$5="3.5% Declining",AE51*AE76,AE51/((1+AE$77)^AE$3))</f>
        <v>0</v>
      </c>
      <c r="AF83" s="384">
        <f>IF('Data Entry'!$H$5="3.5% Declining",AF51*AF76,AF51/((1+AF$77)^AF$3))</f>
        <v>0</v>
      </c>
      <c r="AG83" s="384">
        <f>IF('Data Entry'!$H$5="3.5% Declining",AG51*AG76,AG51/((1+AG$77)^AG$3))</f>
        <v>0</v>
      </c>
      <c r="AH83" s="384">
        <f>IF('Data Entry'!$H$5="3.5% Declining",AH51*AH76,AH51/((1+AH$77)^AH$3))</f>
        <v>0</v>
      </c>
      <c r="AI83" s="384">
        <f>IF('Data Entry'!$H$5="3.5% Declining",AI51*AI76,AI51/((1+AI$77)^AI$3))</f>
        <v>0</v>
      </c>
      <c r="AJ83" s="384">
        <f>IF('Data Entry'!$H$5="3.5% Declining",AJ51*AJ76,AJ51/((1+AJ$77)^AJ$3))</f>
        <v>0</v>
      </c>
      <c r="AK83" s="384">
        <f>IF('Data Entry'!$H$5="3.5% Declining",AK51*AK76,AK51/((1+AK$77)^AK$3))</f>
        <v>0</v>
      </c>
      <c r="AL83" s="384">
        <f>IF('Data Entry'!$H$5="3.5% Declining",AL51*AL76,AL51/((1+AL$77)^AL$3))</f>
        <v>0</v>
      </c>
      <c r="AM83" s="384">
        <f>IF('Data Entry'!$H$5="3.5% Declining",AM51*AM76,AM51/((1+AM$77)^AM$3))</f>
        <v>0</v>
      </c>
      <c r="AN83" s="384">
        <f>IF('Data Entry'!$H$5="3.5% Declining",AN51*AN76,AN51/((1+AN$77)^AN$3))</f>
        <v>0</v>
      </c>
      <c r="AO83" s="559">
        <f>IF('Data Entry'!$H$5="3.5% Declining",AO51*AO76,AO51/((1+AO$77)^AO$3))</f>
        <v>0</v>
      </c>
      <c r="AP83" s="384">
        <f>IF('Data Entry'!$H$5="3.5% Declining",AP51*AP76,AP51/((1+AP$77)^AP$3))</f>
        <v>0</v>
      </c>
      <c r="AQ83" s="384">
        <f>IF('Data Entry'!$H$5="3.5% Declining",AQ51*AQ76,AQ51/((1+AQ$77)^AQ$3))</f>
        <v>0</v>
      </c>
      <c r="AR83" s="384">
        <f>IF('Data Entry'!$H$5="3.5% Declining",AR51*AR76,AR51/((1+AR$77)^AR$3))</f>
        <v>0</v>
      </c>
      <c r="AS83" s="384">
        <f>IF('Data Entry'!$H$5="3.5% Declining",AS51*AS76,AS51/((1+AS$77)^AS$3))</f>
        <v>0</v>
      </c>
      <c r="AT83" s="384">
        <f>IF('Data Entry'!$H$5="3.5% Declining",AT51*AT76,AT51/((1+AT$77)^AT$3))</f>
        <v>0</v>
      </c>
      <c r="AU83" s="384">
        <f>IF('Data Entry'!$H$5="3.5% Declining",AU51*AU76,AU51/((1+AU$77)^AU$3))</f>
        <v>0</v>
      </c>
      <c r="AV83" s="384">
        <f>IF('Data Entry'!$H$5="3.5% Declining",AV51*AV76,AV51/((1+AV$77)^AV$3))</f>
        <v>0</v>
      </c>
      <c r="AW83" s="384">
        <f>IF('Data Entry'!$H$5="3.5% Declining",AW51*AW76,AW51/((1+AW$77)^AW$3))</f>
        <v>0</v>
      </c>
      <c r="AX83" s="384">
        <f>IF('Data Entry'!$H$5="3.5% Declining",AX51*AX76,AX51/((1+AX$77)^AX$3))</f>
        <v>0</v>
      </c>
      <c r="AY83" s="384">
        <f>IF('Data Entry'!$H$5="3.5% Declining",AY51*AY76,AY51/((1+AY$77)^AY$3))</f>
        <v>0</v>
      </c>
      <c r="AZ83" s="384">
        <f>IF('Data Entry'!$H$5="3.5% Declining",AZ51*AZ76,AZ51/((1+AZ$77)^AZ$3))</f>
        <v>0</v>
      </c>
      <c r="BA83" s="384">
        <f>IF('Data Entry'!$H$5="3.5% Declining",BA51*BA76,BA51/((1+BA$77)^BA$3))</f>
        <v>0</v>
      </c>
      <c r="BB83" s="384">
        <f>IF('Data Entry'!$H$5="3.5% Declining",BB51*BB76,BB51/((1+BB$77)^BB$3))</f>
        <v>0</v>
      </c>
      <c r="BC83" s="384">
        <f>IF('Data Entry'!$H$5="3.5% Declining",BC51*BC76,BC51/((1+BC$77)^BC$3))</f>
        <v>0</v>
      </c>
      <c r="BD83" s="384">
        <f>IF('Data Entry'!$H$5="3.5% Declining",BD51*BD76,BD51/((1+BD$77)^BD$3))</f>
        <v>0</v>
      </c>
      <c r="BE83" s="384">
        <f>IF('Data Entry'!$H$5="3.5% Declining",BE51*BE76,BE51/((1+BE$77)^BE$3))</f>
        <v>0</v>
      </c>
      <c r="BF83" s="384">
        <f>IF('Data Entry'!$H$5="3.5% Declining",BF51*BF76,BF51/((1+BF$77)^BF$3))</f>
        <v>0</v>
      </c>
      <c r="BG83" s="384">
        <f>IF('Data Entry'!$H$5="3.5% Declining",BG51*BG76,BG51/((1+BG$77)^BG$3))</f>
        <v>0</v>
      </c>
      <c r="BH83" s="384">
        <f>IF('Data Entry'!$H$5="3.5% Declining",BH51*BH76,BH51/((1+BH$77)^BH$3))</f>
        <v>0</v>
      </c>
      <c r="BI83" s="384">
        <f>IF('Data Entry'!$H$5="3.5% Declining",BI51*BI76,BI51/((1+BI$77)^BI$3))</f>
        <v>0</v>
      </c>
      <c r="BJ83" s="384">
        <f>IF('Data Entry'!$H$5="3.5% Declining",BJ51*BJ76,BJ51/((1+BJ$77)^BJ$3))</f>
        <v>0</v>
      </c>
      <c r="BK83" s="559">
        <f>IF('Data Entry'!$H$5="3.5% Declining",BK51*BK76,BK51/((1+BK$77)^BK$3))</f>
        <v>0</v>
      </c>
      <c r="BL83" s="384">
        <f>IF('Data Entry'!$H$5="3.5% Declining",BL51*BL76,BL51/((1+BL$77)^BL$3))</f>
        <v>0</v>
      </c>
      <c r="BM83" s="384">
        <f>IF('Data Entry'!$H$5="3.5% Declining",BM51*BM76,BM51/((1+BM$77)^BM$3))</f>
        <v>0</v>
      </c>
      <c r="BN83" s="384">
        <f>IF('Data Entry'!$H$5="3.5% Declining",BN51*BN76,BN51/((1+BN$77)^BN$3))</f>
        <v>0</v>
      </c>
      <c r="BO83" s="384">
        <f>IF('Data Entry'!$H$5="3.5% Declining",BO51*BO76,BO51/((1+BO$77)^BO$3))</f>
        <v>0</v>
      </c>
      <c r="BP83" s="384">
        <f>IF('Data Entry'!$H$5="3.5% Declining",BP51*BP76,BP51/((1+BP$77)^BP$3))</f>
        <v>0</v>
      </c>
      <c r="BQ83" s="384">
        <f>IF('Data Entry'!$H$5="3.5% Declining",BQ51*BQ76,BQ51/((1+BQ$77)^BQ$3))</f>
        <v>0</v>
      </c>
      <c r="BR83" s="384">
        <f>IF('Data Entry'!$H$5="3.5% Declining",BR51*BR76,BR51/((1+BR$77)^BR$3))</f>
        <v>0</v>
      </c>
      <c r="BS83" s="384">
        <f>IF('Data Entry'!$H$5="3.5% Declining",BS51*BS76,BS51/((1+BS$77)^BS$3))</f>
        <v>0</v>
      </c>
      <c r="BT83" s="384">
        <f>IF('Data Entry'!$H$5="3.5% Declining",BT51*BT76,BT51/((1+BT$77)^BT$3))</f>
        <v>0</v>
      </c>
      <c r="BU83" s="384">
        <f>IF('Data Entry'!$H$5="3.5% Declining",BU51*BU76,BU51/((1+BU$77)^BU$3))</f>
        <v>0</v>
      </c>
      <c r="BV83" s="384">
        <f>IF('Data Entry'!$H$5="3.5% Declining",BV51*BV76,BV51/((1+BV$77)^BV$3))</f>
        <v>0</v>
      </c>
      <c r="BW83" s="384">
        <f>IF('Data Entry'!$H$5="3.5% Declining",BW51*BW76,BW51/((1+BW$77)^BW$3))</f>
        <v>0</v>
      </c>
      <c r="BX83" s="384">
        <f>IF('Data Entry'!$H$5="3.5% Declining",BX51*BX76,BX51/((1+BX$77)^BX$3))</f>
        <v>0</v>
      </c>
      <c r="BY83" s="384">
        <f>IF('Data Entry'!$H$5="3.5% Declining",BY51*BY76,BY51/((1+BY$77)^BY$3))</f>
        <v>0</v>
      </c>
      <c r="BZ83" s="384">
        <f>IF('Data Entry'!$H$5="3.5% Declining",BZ51*BZ76,BZ51/((1+BZ$77)^BZ$3))</f>
        <v>0</v>
      </c>
      <c r="CA83" s="559">
        <f>IF('Data Entry'!$H$5="3.5% Declining",CA51*CA76,CA51/((1+CA$77)^CA$3))</f>
        <v>0</v>
      </c>
      <c r="CB83" s="384">
        <f>IF('Data Entry'!$H$5="3.5% Declining",CB51*CB76,CB51/((1+CB$77)^CB$3))</f>
        <v>0</v>
      </c>
      <c r="CC83" s="384">
        <f>IF('Data Entry'!$H$5="3.5% Declining",CC51*CC76,CC51/((1+CC$77)^CC$3))</f>
        <v>0</v>
      </c>
      <c r="CD83" s="384">
        <f>IF('Data Entry'!$H$5="3.5% Declining",CD51*CD76,CD51/((1+CD$77)^CD$3))</f>
        <v>0</v>
      </c>
      <c r="CE83" s="384">
        <f>IF('Data Entry'!$H$5="3.5% Declining",CE51*CE76,CE51/((1+CE$77)^CE$3))</f>
        <v>0</v>
      </c>
      <c r="CF83" s="384">
        <f>IF('Data Entry'!$H$5="3.5% Declining",CF51*CF76,CF51/((1+CF$77)^CF$3))</f>
        <v>0</v>
      </c>
      <c r="CG83" s="384">
        <f>IF('Data Entry'!$H$5="3.5% Declining",CG51*CG76,CG51/((1+CG$77)^CG$3))</f>
        <v>0</v>
      </c>
      <c r="CH83" s="384">
        <f>IF('Data Entry'!$H$5="3.5% Declining",CH51*CH76,CH51/((1+CH$77)^CH$3))</f>
        <v>0</v>
      </c>
      <c r="CI83" s="384">
        <f>IF('Data Entry'!$H$5="3.5% Declining",CI51*CI76,CI51/((1+CI$77)^CI$3))</f>
        <v>0</v>
      </c>
      <c r="CJ83" s="384">
        <f>IF('Data Entry'!$H$5="3.5% Declining",CJ51*CJ76,CJ51/((1+CJ$77)^CJ$3))</f>
        <v>0</v>
      </c>
      <c r="CK83" s="384">
        <f>IF('Data Entry'!$H$5="3.5% Declining",CK51*CK76,CK51/((1+CK$77)^CK$3))</f>
        <v>0</v>
      </c>
      <c r="CL83" s="384">
        <f>IF('Data Entry'!$H$5="3.5% Declining",CL51*CL76,CL51/((1+CL$77)^CL$3))</f>
        <v>0</v>
      </c>
      <c r="CM83" s="384">
        <f>IF('Data Entry'!$H$5="3.5% Declining",CM51*CM76,CM51/((1+CM$77)^CM$3))</f>
        <v>0</v>
      </c>
      <c r="CN83" s="384">
        <f>IF('Data Entry'!$H$5="3.5% Declining",CN51*CN76,CN51/((1+CN$77)^CN$3))</f>
        <v>0</v>
      </c>
      <c r="CO83" s="384">
        <f>IF('Data Entry'!$H$5="3.5% Declining",CO51*CO76,CO51/((1+CO$77)^CO$3))</f>
        <v>0</v>
      </c>
      <c r="CP83" s="384">
        <f>IF('Data Entry'!$H$5="3.5% Declining",CP51*CP76,CP51/((1+CP$77)^CP$3))</f>
        <v>0</v>
      </c>
      <c r="CQ83" s="384">
        <f>IF('Data Entry'!$H$5="3.5% Declining",CQ51*CQ76,CQ51/((1+CQ$77)^CQ$3))</f>
        <v>0</v>
      </c>
      <c r="CR83" s="384">
        <f>IF('Data Entry'!$H$5="3.5% Declining",CR51*CR76,CR51/((1+CR$77)^CR$3))</f>
        <v>0</v>
      </c>
      <c r="CS83" s="384">
        <f>IF('Data Entry'!$H$5="3.5% Declining",CS51*CS76,CS51/((1+CS$77)^CS$3))</f>
        <v>0</v>
      </c>
      <c r="CT83" s="384">
        <f>IF('Data Entry'!$H$5="3.5% Declining",CT51*CT76,CT51/((1+CT$77)^CT$3))</f>
        <v>0</v>
      </c>
      <c r="CU83" s="384">
        <f>IF('Data Entry'!$H$5="3.5% Declining",CU51*CU76,CU51/((1+CU$77)^CU$3))</f>
        <v>0</v>
      </c>
      <c r="CV83" s="384">
        <f>IF('Data Entry'!$H$5="3.5% Declining",CV51*CV76,CV51/((1+CV$77)^CV$3))</f>
        <v>0</v>
      </c>
      <c r="CW83" s="384">
        <f>IF('Data Entry'!$H$5="3.5% Declining",CW51*CW76,CW51/((1+CW$77)^CW$3))</f>
        <v>0</v>
      </c>
      <c r="CX83" s="384">
        <f>IF('Data Entry'!$H$5="3.5% Declining",CX51*CX76,CX51/((1+CX$77)^CX$3))</f>
        <v>0</v>
      </c>
      <c r="CY83" s="566">
        <f>IF('Data Entry'!$H$5="3.5% Declining",CY51*CY76,CY51/((1+CY$77)^CY$3))</f>
        <v>0</v>
      </c>
    </row>
    <row r="84" spans="1:103" ht="15" customHeight="1" x14ac:dyDescent="0.3">
      <c r="A84" s="758" t="s">
        <v>60</v>
      </c>
      <c r="B84" s="759"/>
      <c r="C84" s="760">
        <f t="shared" si="43"/>
        <v>0</v>
      </c>
      <c r="D84" s="384">
        <f>IF('Data Entry'!$H$5="3.5% Declining",D52*D76,D52/((1+D$77)^D$3))</f>
        <v>0</v>
      </c>
      <c r="E84" s="384">
        <f>IF('Data Entry'!$H$5="3.5% Declining",E52*E76,E52/((1+E$77)^E$3))</f>
        <v>0</v>
      </c>
      <c r="F84" s="384">
        <f>IF('Data Entry'!$H$5="3.5% Declining",F52*F76,F52/((1+F$77)^F$3))</f>
        <v>0</v>
      </c>
      <c r="G84" s="384">
        <f>IF('Data Entry'!$H$5="3.5% Declining",G52*G76,G52/((1+G$77)^G$3))</f>
        <v>0</v>
      </c>
      <c r="H84" s="384">
        <f>IF('Data Entry'!$H$5="3.5% Declining",H52*H76,H52/((1+H$77)^H$3))</f>
        <v>0</v>
      </c>
      <c r="I84" s="384">
        <f>IF('Data Entry'!$H$5="3.5% Declining",I52*I76,I52/((1+I$77)^I$3))</f>
        <v>0</v>
      </c>
      <c r="J84" s="384">
        <f>IF('Data Entry'!$H$5="3.5% Declining",J52*J76,J52/((1+J$77)^J$3))</f>
        <v>0</v>
      </c>
      <c r="K84" s="384">
        <f>IF('Data Entry'!$H$5="3.5% Declining",K52*K76,K52/((1+K$77)^K$3))</f>
        <v>0</v>
      </c>
      <c r="L84" s="384">
        <f>IF('Data Entry'!$H$5="3.5% Declining",L52*L76,L52/((1+L$77)^L$3))</f>
        <v>0</v>
      </c>
      <c r="M84" s="384">
        <f>IF('Data Entry'!$H$5="3.5% Declining",M52*M76,M52/((1+M$77)^M$3))</f>
        <v>0</v>
      </c>
      <c r="N84" s="384">
        <f>IF('Data Entry'!$H$5="3.5% Declining",N52*N76,N52/((1+N$77)^N$3))</f>
        <v>0</v>
      </c>
      <c r="O84" s="384">
        <f>IF('Data Entry'!$H$5="3.5% Declining",O52*O76,O52/((1+O$77)^O$3))</f>
        <v>0</v>
      </c>
      <c r="P84" s="384">
        <f>IF('Data Entry'!$H$5="3.5% Declining",P52*P76,P52/((1+P$77)^P$3))</f>
        <v>0</v>
      </c>
      <c r="Q84" s="384">
        <f>IF('Data Entry'!$H$5="3.5% Declining",Q52*Q76,Q52/((1+Q$77)^Q$3))</f>
        <v>0</v>
      </c>
      <c r="R84" s="384">
        <f>IF('Data Entry'!$H$5="3.5% Declining",R52*R76,R52/((1+R$77)^R$3))</f>
        <v>0</v>
      </c>
      <c r="S84" s="384">
        <f>IF('Data Entry'!$H$5="3.5% Declining",S52*S76,S52/((1+S$77)^S$3))</f>
        <v>0</v>
      </c>
      <c r="T84" s="384">
        <f>IF('Data Entry'!$H$5="3.5% Declining",T52*T76,T52/((1+T$77)^T$3))</f>
        <v>0</v>
      </c>
      <c r="U84" s="384">
        <f>IF('Data Entry'!$H$5="3.5% Declining",U52*U76,U52/((1+U$77)^U$3))</f>
        <v>0</v>
      </c>
      <c r="V84" s="384">
        <f>IF('Data Entry'!$H$5="3.5% Declining",V52*V76,V52/((1+V$77)^V$3))</f>
        <v>0</v>
      </c>
      <c r="W84" s="384">
        <f>IF('Data Entry'!$H$5="3.5% Declining",W52*W76,W52/((1+W$77)^W$3))</f>
        <v>0</v>
      </c>
      <c r="X84" s="384">
        <f>IF('Data Entry'!$H$5="3.5% Declining",X52*X76,X52/((1+X$77)^X$3))</f>
        <v>0</v>
      </c>
      <c r="Y84" s="384">
        <f>IF('Data Entry'!$H$5="3.5% Declining",Y52*Y76,Y52/((1+Y$77)^Y$3))</f>
        <v>0</v>
      </c>
      <c r="Z84" s="384">
        <f>IF('Data Entry'!$H$5="3.5% Declining",Z52*Z76,Z52/((1+Z$77)^Z$3))</f>
        <v>0</v>
      </c>
      <c r="AA84" s="384">
        <f>IF('Data Entry'!$H$5="3.5% Declining",AA52*AA76,AA52/((1+AA$77)^AA$3))</f>
        <v>0</v>
      </c>
      <c r="AB84" s="384">
        <f>IF('Data Entry'!$H$5="3.5% Declining",AB52*AB76,AB52/((1+AB$77)^AB$3))</f>
        <v>0</v>
      </c>
      <c r="AC84" s="384">
        <f>IF('Data Entry'!$H$5="3.5% Declining",AC52*AC76,AC52/((1+AC$77)^AC$3))</f>
        <v>0</v>
      </c>
      <c r="AD84" s="384">
        <f>IF('Data Entry'!$H$5="3.5% Declining",AD52*AD76,AD52/((1+AD$77)^AD$3))</f>
        <v>0</v>
      </c>
      <c r="AE84" s="384">
        <f>IF('Data Entry'!$H$5="3.5% Declining",AE52*AE76,AE52/((1+AE$77)^AE$3))</f>
        <v>0</v>
      </c>
      <c r="AF84" s="384">
        <f>IF('Data Entry'!$H$5="3.5% Declining",AF52*AF76,AF52/((1+AF$77)^AF$3))</f>
        <v>0</v>
      </c>
      <c r="AG84" s="384">
        <f>IF('Data Entry'!$H$5="3.5% Declining",AG52*AG76,AG52/((1+AG$77)^AG$3))</f>
        <v>0</v>
      </c>
      <c r="AH84" s="384">
        <f>IF('Data Entry'!$H$5="3.5% Declining",AH52*AH76,AH52/((1+AH$77)^AH$3))</f>
        <v>0</v>
      </c>
      <c r="AI84" s="384">
        <f>IF('Data Entry'!$H$5="3.5% Declining",AI52*AI76,AI52/((1+AI$77)^AI$3))</f>
        <v>0</v>
      </c>
      <c r="AJ84" s="384">
        <f>IF('Data Entry'!$H$5="3.5% Declining",AJ52*AJ76,AJ52/((1+AJ$77)^AJ$3))</f>
        <v>0</v>
      </c>
      <c r="AK84" s="384">
        <f>IF('Data Entry'!$H$5="3.5% Declining",AK52*AK76,AK52/((1+AK$77)^AK$3))</f>
        <v>0</v>
      </c>
      <c r="AL84" s="384">
        <f>IF('Data Entry'!$H$5="3.5% Declining",AL52*AL76,AL52/((1+AL$77)^AL$3))</f>
        <v>0</v>
      </c>
      <c r="AM84" s="384">
        <f>IF('Data Entry'!$H$5="3.5% Declining",AM52*AM76,AM52/((1+AM$77)^AM$3))</f>
        <v>0</v>
      </c>
      <c r="AN84" s="384">
        <f>IF('Data Entry'!$H$5="3.5% Declining",AN52*AN76,AN52/((1+AN$77)^AN$3))</f>
        <v>0</v>
      </c>
      <c r="AO84" s="559">
        <f>IF('Data Entry'!$H$5="3.5% Declining",AO52*AO76,AO52/((1+AO$77)^AO$3))</f>
        <v>0</v>
      </c>
      <c r="AP84" s="384">
        <f>IF('Data Entry'!$H$5="3.5% Declining",AP52*AP76,AP52/((1+AP$77)^AP$3))</f>
        <v>0</v>
      </c>
      <c r="AQ84" s="384">
        <f>IF('Data Entry'!$H$5="3.5% Declining",AQ52*AQ76,AQ52/((1+AQ$77)^AQ$3))</f>
        <v>0</v>
      </c>
      <c r="AR84" s="384">
        <f>IF('Data Entry'!$H$5="3.5% Declining",AR52*AR76,AR52/((1+AR$77)^AR$3))</f>
        <v>0</v>
      </c>
      <c r="AS84" s="384">
        <f>IF('Data Entry'!$H$5="3.5% Declining",AS52*AS76,AS52/((1+AS$77)^AS$3))</f>
        <v>0</v>
      </c>
      <c r="AT84" s="384">
        <f>IF('Data Entry'!$H$5="3.5% Declining",AT52*AT76,AT52/((1+AT$77)^AT$3))</f>
        <v>0</v>
      </c>
      <c r="AU84" s="384">
        <f>IF('Data Entry'!$H$5="3.5% Declining",AU52*AU76,AU52/((1+AU$77)^AU$3))</f>
        <v>0</v>
      </c>
      <c r="AV84" s="384">
        <f>IF('Data Entry'!$H$5="3.5% Declining",AV52*AV76,AV52/((1+AV$77)^AV$3))</f>
        <v>0</v>
      </c>
      <c r="AW84" s="384">
        <f>IF('Data Entry'!$H$5="3.5% Declining",AW52*AW76,AW52/((1+AW$77)^AW$3))</f>
        <v>0</v>
      </c>
      <c r="AX84" s="384">
        <f>IF('Data Entry'!$H$5="3.5% Declining",AX52*AX76,AX52/((1+AX$77)^AX$3))</f>
        <v>0</v>
      </c>
      <c r="AY84" s="384">
        <f>IF('Data Entry'!$H$5="3.5% Declining",AY52*AY76,AY52/((1+AY$77)^AY$3))</f>
        <v>0</v>
      </c>
      <c r="AZ84" s="384">
        <f>IF('Data Entry'!$H$5="3.5% Declining",AZ52*AZ76,AZ52/((1+AZ$77)^AZ$3))</f>
        <v>0</v>
      </c>
      <c r="BA84" s="384">
        <f>IF('Data Entry'!$H$5="3.5% Declining",BA52*BA76,BA52/((1+BA$77)^BA$3))</f>
        <v>0</v>
      </c>
      <c r="BB84" s="384">
        <f>IF('Data Entry'!$H$5="3.5% Declining",BB52*BB76,BB52/((1+BB$77)^BB$3))</f>
        <v>0</v>
      </c>
      <c r="BC84" s="384">
        <f>IF('Data Entry'!$H$5="3.5% Declining",BC52*BC76,BC52/((1+BC$77)^BC$3))</f>
        <v>0</v>
      </c>
      <c r="BD84" s="384">
        <f>IF('Data Entry'!$H$5="3.5% Declining",BD52*BD76,BD52/((1+BD$77)^BD$3))</f>
        <v>0</v>
      </c>
      <c r="BE84" s="384">
        <f>IF('Data Entry'!$H$5="3.5% Declining",BE52*BE76,BE52/((1+BE$77)^BE$3))</f>
        <v>0</v>
      </c>
      <c r="BF84" s="384">
        <f>IF('Data Entry'!$H$5="3.5% Declining",BF52*BF76,BF52/((1+BF$77)^BF$3))</f>
        <v>0</v>
      </c>
      <c r="BG84" s="384">
        <f>IF('Data Entry'!$H$5="3.5% Declining",BG52*BG76,BG52/((1+BG$77)^BG$3))</f>
        <v>0</v>
      </c>
      <c r="BH84" s="384">
        <f>IF('Data Entry'!$H$5="3.5% Declining",BH52*BH76,BH52/((1+BH$77)^BH$3))</f>
        <v>0</v>
      </c>
      <c r="BI84" s="384">
        <f>IF('Data Entry'!$H$5="3.5% Declining",BI52*BI76,BI52/((1+BI$77)^BI$3))</f>
        <v>0</v>
      </c>
      <c r="BJ84" s="384">
        <f>IF('Data Entry'!$H$5="3.5% Declining",BJ52*BJ76,BJ52/((1+BJ$77)^BJ$3))</f>
        <v>0</v>
      </c>
      <c r="BK84" s="559">
        <f>IF('Data Entry'!$H$5="3.5% Declining",BK52*BK76,BK52/((1+BK$77)^BK$3))</f>
        <v>0</v>
      </c>
      <c r="BL84" s="384">
        <f>IF('Data Entry'!$H$5="3.5% Declining",BL52*BL76,BL52/((1+BL$77)^BL$3))</f>
        <v>0</v>
      </c>
      <c r="BM84" s="384">
        <f>IF('Data Entry'!$H$5="3.5% Declining",BM52*BM76,BM52/((1+BM$77)^BM$3))</f>
        <v>0</v>
      </c>
      <c r="BN84" s="384">
        <f>IF('Data Entry'!$H$5="3.5% Declining",BN52*BN76,BN52/((1+BN$77)^BN$3))</f>
        <v>0</v>
      </c>
      <c r="BO84" s="384">
        <f>IF('Data Entry'!$H$5="3.5% Declining",BO52*BO76,BO52/((1+BO$77)^BO$3))</f>
        <v>0</v>
      </c>
      <c r="BP84" s="384">
        <f>IF('Data Entry'!$H$5="3.5% Declining",BP52*BP76,BP52/((1+BP$77)^BP$3))</f>
        <v>0</v>
      </c>
      <c r="BQ84" s="384">
        <f>IF('Data Entry'!$H$5="3.5% Declining",BQ52*BQ76,BQ52/((1+BQ$77)^BQ$3))</f>
        <v>0</v>
      </c>
      <c r="BR84" s="384">
        <f>IF('Data Entry'!$H$5="3.5% Declining",BR52*BR76,BR52/((1+BR$77)^BR$3))</f>
        <v>0</v>
      </c>
      <c r="BS84" s="384">
        <f>IF('Data Entry'!$H$5="3.5% Declining",BS52*BS76,BS52/((1+BS$77)^BS$3))</f>
        <v>0</v>
      </c>
      <c r="BT84" s="384">
        <f>IF('Data Entry'!$H$5="3.5% Declining",BT52*BT76,BT52/((1+BT$77)^BT$3))</f>
        <v>0</v>
      </c>
      <c r="BU84" s="384">
        <f>IF('Data Entry'!$H$5="3.5% Declining",BU52*BU76,BU52/((1+BU$77)^BU$3))</f>
        <v>0</v>
      </c>
      <c r="BV84" s="384">
        <f>IF('Data Entry'!$H$5="3.5% Declining",BV52*BV76,BV52/((1+BV$77)^BV$3))</f>
        <v>0</v>
      </c>
      <c r="BW84" s="384">
        <f>IF('Data Entry'!$H$5="3.5% Declining",BW52*BW76,BW52/((1+BW$77)^BW$3))</f>
        <v>0</v>
      </c>
      <c r="BX84" s="384">
        <f>IF('Data Entry'!$H$5="3.5% Declining",BX52*BX76,BX52/((1+BX$77)^BX$3))</f>
        <v>0</v>
      </c>
      <c r="BY84" s="384">
        <f>IF('Data Entry'!$H$5="3.5% Declining",BY52*BY76,BY52/((1+BY$77)^BY$3))</f>
        <v>0</v>
      </c>
      <c r="BZ84" s="384">
        <f>IF('Data Entry'!$H$5="3.5% Declining",BZ52*BZ76,BZ52/((1+BZ$77)^BZ$3))</f>
        <v>0</v>
      </c>
      <c r="CA84" s="559">
        <f>IF('Data Entry'!$H$5="3.5% Declining",CA52*CA76,CA52/((1+CA$77)^CA$3))</f>
        <v>0</v>
      </c>
      <c r="CB84" s="384">
        <f>IF('Data Entry'!$H$5="3.5% Declining",CB52*CB76,CB52/((1+CB$77)^CB$3))</f>
        <v>0</v>
      </c>
      <c r="CC84" s="384">
        <f>IF('Data Entry'!$H$5="3.5% Declining",CC52*CC76,CC52/((1+CC$77)^CC$3))</f>
        <v>0</v>
      </c>
      <c r="CD84" s="384">
        <f>IF('Data Entry'!$H$5="3.5% Declining",CD52*CD76,CD52/((1+CD$77)^CD$3))</f>
        <v>0</v>
      </c>
      <c r="CE84" s="384">
        <f>IF('Data Entry'!$H$5="3.5% Declining",CE52*CE76,CE52/((1+CE$77)^CE$3))</f>
        <v>0</v>
      </c>
      <c r="CF84" s="384">
        <f>IF('Data Entry'!$H$5="3.5% Declining",CF52*CF76,CF52/((1+CF$77)^CF$3))</f>
        <v>0</v>
      </c>
      <c r="CG84" s="384">
        <f>IF('Data Entry'!$H$5="3.5% Declining",CG52*CG76,CG52/((1+CG$77)^CG$3))</f>
        <v>0</v>
      </c>
      <c r="CH84" s="384">
        <f>IF('Data Entry'!$H$5="3.5% Declining",CH52*CH76,CH52/((1+CH$77)^CH$3))</f>
        <v>0</v>
      </c>
      <c r="CI84" s="384">
        <f>IF('Data Entry'!$H$5="3.5% Declining",CI52*CI76,CI52/((1+CI$77)^CI$3))</f>
        <v>0</v>
      </c>
      <c r="CJ84" s="384">
        <f>IF('Data Entry'!$H$5="3.5% Declining",CJ52*CJ76,CJ52/((1+CJ$77)^CJ$3))</f>
        <v>0</v>
      </c>
      <c r="CK84" s="384">
        <f>IF('Data Entry'!$H$5="3.5% Declining",CK52*CK76,CK52/((1+CK$77)^CK$3))</f>
        <v>0</v>
      </c>
      <c r="CL84" s="384">
        <f>IF('Data Entry'!$H$5="3.5% Declining",CL52*CL76,CL52/((1+CL$77)^CL$3))</f>
        <v>0</v>
      </c>
      <c r="CM84" s="384">
        <f>IF('Data Entry'!$H$5="3.5% Declining",CM52*CM76,CM52/((1+CM$77)^CM$3))</f>
        <v>0</v>
      </c>
      <c r="CN84" s="384">
        <f>IF('Data Entry'!$H$5="3.5% Declining",CN52*CN76,CN52/((1+CN$77)^CN$3))</f>
        <v>0</v>
      </c>
      <c r="CO84" s="384">
        <f>IF('Data Entry'!$H$5="3.5% Declining",CO52*CO76,CO52/((1+CO$77)^CO$3))</f>
        <v>0</v>
      </c>
      <c r="CP84" s="384">
        <f>IF('Data Entry'!$H$5="3.5% Declining",CP52*CP76,CP52/((1+CP$77)^CP$3))</f>
        <v>0</v>
      </c>
      <c r="CQ84" s="384">
        <f>IF('Data Entry'!$H$5="3.5% Declining",CQ52*CQ76,CQ52/((1+CQ$77)^CQ$3))</f>
        <v>0</v>
      </c>
      <c r="CR84" s="384">
        <f>IF('Data Entry'!$H$5="3.5% Declining",CR52*CR76,CR52/((1+CR$77)^CR$3))</f>
        <v>0</v>
      </c>
      <c r="CS84" s="384">
        <f>IF('Data Entry'!$H$5="3.5% Declining",CS52*CS76,CS52/((1+CS$77)^CS$3))</f>
        <v>0</v>
      </c>
      <c r="CT84" s="384">
        <f>IF('Data Entry'!$H$5="3.5% Declining",CT52*CT76,CT52/((1+CT$77)^CT$3))</f>
        <v>0</v>
      </c>
      <c r="CU84" s="384">
        <f>IF('Data Entry'!$H$5="3.5% Declining",CU52*CU76,CU52/((1+CU$77)^CU$3))</f>
        <v>0</v>
      </c>
      <c r="CV84" s="384">
        <f>IF('Data Entry'!$H$5="3.5% Declining",CV52*CV76,CV52/((1+CV$77)^CV$3))</f>
        <v>0</v>
      </c>
      <c r="CW84" s="384">
        <f>IF('Data Entry'!$H$5="3.5% Declining",CW52*CW76,CW52/((1+CW$77)^CW$3))</f>
        <v>0</v>
      </c>
      <c r="CX84" s="384">
        <f>IF('Data Entry'!$H$5="3.5% Declining",CX52*CX76,CX52/((1+CX$77)^CX$3))</f>
        <v>0</v>
      </c>
      <c r="CY84" s="566">
        <f>IF('Data Entry'!$H$5="3.5% Declining",CY52*CY76,CY52/((1+CY$77)^CY$3))</f>
        <v>0</v>
      </c>
    </row>
    <row r="85" spans="1:103" ht="15" customHeight="1" x14ac:dyDescent="0.3">
      <c r="A85" s="758" t="s">
        <v>61</v>
      </c>
      <c r="B85" s="759"/>
      <c r="C85" s="760">
        <f t="shared" si="43"/>
        <v>0</v>
      </c>
      <c r="D85" s="384">
        <f>IF('Data Entry'!$H$5="3.5% Declining",D53*D76,D53/((1+D$77)^D$3))</f>
        <v>0</v>
      </c>
      <c r="E85" s="384">
        <f>IF('Data Entry'!$H$5="3.5% Declining",E53*E76,E53/((1+E$77)^E$3))</f>
        <v>0</v>
      </c>
      <c r="F85" s="384">
        <f>IF('Data Entry'!$H$5="3.5% Declining",F53*F76,F53/((1+F$77)^F$3))</f>
        <v>0</v>
      </c>
      <c r="G85" s="384">
        <f>IF('Data Entry'!$H$5="3.5% Declining",G53*G76,G53/((1+G$77)^G$3))</f>
        <v>0</v>
      </c>
      <c r="H85" s="384">
        <f>IF('Data Entry'!$H$5="3.5% Declining",H53*H76,H53/((1+H$77)^H$3))</f>
        <v>0</v>
      </c>
      <c r="I85" s="384">
        <f>IF('Data Entry'!$H$5="3.5% Declining",I53*I76,I53/((1+I$77)^I$3))</f>
        <v>0</v>
      </c>
      <c r="J85" s="384">
        <f>IF('Data Entry'!$H$5="3.5% Declining",J53*J76,J53/((1+J$77)^J$3))</f>
        <v>0</v>
      </c>
      <c r="K85" s="384">
        <f>IF('Data Entry'!$H$5="3.5% Declining",K53*K76,K53/((1+K$77)^K$3))</f>
        <v>0</v>
      </c>
      <c r="L85" s="384">
        <f>IF('Data Entry'!$H$5="3.5% Declining",L53*L76,L53/((1+L$77)^L$3))</f>
        <v>0</v>
      </c>
      <c r="M85" s="384">
        <f>IF('Data Entry'!$H$5="3.5% Declining",M53*M76,M53/((1+M$77)^M$3))</f>
        <v>0</v>
      </c>
      <c r="N85" s="384">
        <f>IF('Data Entry'!$H$5="3.5% Declining",N53*N76,N53/((1+N$77)^N$3))</f>
        <v>0</v>
      </c>
      <c r="O85" s="384">
        <f>IF('Data Entry'!$H$5="3.5% Declining",O53*O76,O53/((1+O$77)^O$3))</f>
        <v>0</v>
      </c>
      <c r="P85" s="384">
        <f>IF('Data Entry'!$H$5="3.5% Declining",P53*P76,P53/((1+P$77)^P$3))</f>
        <v>0</v>
      </c>
      <c r="Q85" s="384">
        <f>IF('Data Entry'!$H$5="3.5% Declining",Q53*Q76,Q53/((1+Q$77)^Q$3))</f>
        <v>0</v>
      </c>
      <c r="R85" s="384">
        <f>IF('Data Entry'!$H$5="3.5% Declining",R53*R76,R53/((1+R$77)^R$3))</f>
        <v>0</v>
      </c>
      <c r="S85" s="384">
        <f>IF('Data Entry'!$H$5="3.5% Declining",S53*S76,S53/((1+S$77)^S$3))</f>
        <v>0</v>
      </c>
      <c r="T85" s="384">
        <f>IF('Data Entry'!$H$5="3.5% Declining",T53*T76,T53/((1+T$77)^T$3))</f>
        <v>0</v>
      </c>
      <c r="U85" s="384">
        <f>IF('Data Entry'!$H$5="3.5% Declining",U53*U76,U53/((1+U$77)^U$3))</f>
        <v>0</v>
      </c>
      <c r="V85" s="384">
        <f>IF('Data Entry'!$H$5="3.5% Declining",V53*V76,V53/((1+V$77)^V$3))</f>
        <v>0</v>
      </c>
      <c r="W85" s="384">
        <f>IF('Data Entry'!$H$5="3.5% Declining",W53*W76,W53/((1+W$77)^W$3))</f>
        <v>0</v>
      </c>
      <c r="X85" s="384">
        <f>IF('Data Entry'!$H$5="3.5% Declining",X53*X76,X53/((1+X$77)^X$3))</f>
        <v>0</v>
      </c>
      <c r="Y85" s="384">
        <f>IF('Data Entry'!$H$5="3.5% Declining",Y53*Y76,Y53/((1+Y$77)^Y$3))</f>
        <v>0</v>
      </c>
      <c r="Z85" s="384">
        <f>IF('Data Entry'!$H$5="3.5% Declining",Z53*Z76,Z53/((1+Z$77)^Z$3))</f>
        <v>0</v>
      </c>
      <c r="AA85" s="384">
        <f>IF('Data Entry'!$H$5="3.5% Declining",AA53*AA76,AA53/((1+AA$77)^AA$3))</f>
        <v>0</v>
      </c>
      <c r="AB85" s="384">
        <f>IF('Data Entry'!$H$5="3.5% Declining",AB53*AB76,AB53/((1+AB$77)^AB$3))</f>
        <v>0</v>
      </c>
      <c r="AC85" s="384">
        <f>IF('Data Entry'!$H$5="3.5% Declining",AC53*AC76,AC53/((1+AC$77)^AC$3))</f>
        <v>0</v>
      </c>
      <c r="AD85" s="384">
        <f>IF('Data Entry'!$H$5="3.5% Declining",AD53*AD76,AD53/((1+AD$77)^AD$3))</f>
        <v>0</v>
      </c>
      <c r="AE85" s="384">
        <f>IF('Data Entry'!$H$5="3.5% Declining",AE53*AE76,AE53/((1+AE$77)^AE$3))</f>
        <v>0</v>
      </c>
      <c r="AF85" s="384">
        <f>IF('Data Entry'!$H$5="3.5% Declining",AF53*AF76,AF53/((1+AF$77)^AF$3))</f>
        <v>0</v>
      </c>
      <c r="AG85" s="384">
        <f>IF('Data Entry'!$H$5="3.5% Declining",AG53*AG76,AG53/((1+AG$77)^AG$3))</f>
        <v>0</v>
      </c>
      <c r="AH85" s="384">
        <f>IF('Data Entry'!$H$5="3.5% Declining",AH53*AH76,AH53/((1+AH$77)^AH$3))</f>
        <v>0</v>
      </c>
      <c r="AI85" s="384">
        <f>IF('Data Entry'!$H$5="3.5% Declining",AI53*AI76,AI53/((1+AI$77)^AI$3))</f>
        <v>0</v>
      </c>
      <c r="AJ85" s="384">
        <f>IF('Data Entry'!$H$5="3.5% Declining",AJ53*AJ76,AJ53/((1+AJ$77)^AJ$3))</f>
        <v>0</v>
      </c>
      <c r="AK85" s="384">
        <f>IF('Data Entry'!$H$5="3.5% Declining",AK53*AK76,AK53/((1+AK$77)^AK$3))</f>
        <v>0</v>
      </c>
      <c r="AL85" s="384">
        <f>IF('Data Entry'!$H$5="3.5% Declining",AL53*AL76,AL53/((1+AL$77)^AL$3))</f>
        <v>0</v>
      </c>
      <c r="AM85" s="384">
        <f>IF('Data Entry'!$H$5="3.5% Declining",AM53*AM76,AM53/((1+AM$77)^AM$3))</f>
        <v>0</v>
      </c>
      <c r="AN85" s="384">
        <f>IF('Data Entry'!$H$5="3.5% Declining",AN53*AN76,AN53/((1+AN$77)^AN$3))</f>
        <v>0</v>
      </c>
      <c r="AO85" s="559">
        <f>IF('Data Entry'!$H$5="3.5% Declining",AO53*AO76,AO53/((1+AO$77)^AO$3))</f>
        <v>0</v>
      </c>
      <c r="AP85" s="384">
        <f>IF('Data Entry'!$H$5="3.5% Declining",AP53*AP76,AP53/((1+AP$77)^AP$3))</f>
        <v>0</v>
      </c>
      <c r="AQ85" s="384">
        <f>IF('Data Entry'!$H$5="3.5% Declining",AQ53*AQ76,AQ53/((1+AQ$77)^AQ$3))</f>
        <v>0</v>
      </c>
      <c r="AR85" s="384">
        <f>IF('Data Entry'!$H$5="3.5% Declining",AR53*AR76,AR53/((1+AR$77)^AR$3))</f>
        <v>0</v>
      </c>
      <c r="AS85" s="384">
        <f>IF('Data Entry'!$H$5="3.5% Declining",AS53*AS76,AS53/((1+AS$77)^AS$3))</f>
        <v>0</v>
      </c>
      <c r="AT85" s="384">
        <f>IF('Data Entry'!$H$5="3.5% Declining",AT53*AT76,AT53/((1+AT$77)^AT$3))</f>
        <v>0</v>
      </c>
      <c r="AU85" s="384">
        <f>IF('Data Entry'!$H$5="3.5% Declining",AU53*AU76,AU53/((1+AU$77)^AU$3))</f>
        <v>0</v>
      </c>
      <c r="AV85" s="384">
        <f>IF('Data Entry'!$H$5="3.5% Declining",AV53*AV76,AV53/((1+AV$77)^AV$3))</f>
        <v>0</v>
      </c>
      <c r="AW85" s="384">
        <f>IF('Data Entry'!$H$5="3.5% Declining",AW53*AW76,AW53/((1+AW$77)^AW$3))</f>
        <v>0</v>
      </c>
      <c r="AX85" s="384">
        <f>IF('Data Entry'!$H$5="3.5% Declining",AX53*AX76,AX53/((1+AX$77)^AX$3))</f>
        <v>0</v>
      </c>
      <c r="AY85" s="384">
        <f>IF('Data Entry'!$H$5="3.5% Declining",AY53*AY76,AY53/((1+AY$77)^AY$3))</f>
        <v>0</v>
      </c>
      <c r="AZ85" s="384">
        <f>IF('Data Entry'!$H$5="3.5% Declining",AZ53*AZ76,AZ53/((1+AZ$77)^AZ$3))</f>
        <v>0</v>
      </c>
      <c r="BA85" s="384">
        <f>IF('Data Entry'!$H$5="3.5% Declining",BA53*BA76,BA53/((1+BA$77)^BA$3))</f>
        <v>0</v>
      </c>
      <c r="BB85" s="384">
        <f>IF('Data Entry'!$H$5="3.5% Declining",BB53*BB76,BB53/((1+BB$77)^BB$3))</f>
        <v>0</v>
      </c>
      <c r="BC85" s="384">
        <f>IF('Data Entry'!$H$5="3.5% Declining",BC53*BC76,BC53/((1+BC$77)^BC$3))</f>
        <v>0</v>
      </c>
      <c r="BD85" s="384">
        <f>IF('Data Entry'!$H$5="3.5% Declining",BD53*BD76,BD53/((1+BD$77)^BD$3))</f>
        <v>0</v>
      </c>
      <c r="BE85" s="384">
        <f>IF('Data Entry'!$H$5="3.5% Declining",BE53*BE76,BE53/((1+BE$77)^BE$3))</f>
        <v>0</v>
      </c>
      <c r="BF85" s="384">
        <f>IF('Data Entry'!$H$5="3.5% Declining",BF53*BF76,BF53/((1+BF$77)^BF$3))</f>
        <v>0</v>
      </c>
      <c r="BG85" s="384">
        <f>IF('Data Entry'!$H$5="3.5% Declining",BG53*BG76,BG53/((1+BG$77)^BG$3))</f>
        <v>0</v>
      </c>
      <c r="BH85" s="384">
        <f>IF('Data Entry'!$H$5="3.5% Declining",BH53*BH76,BH53/((1+BH$77)^BH$3))</f>
        <v>0</v>
      </c>
      <c r="BI85" s="384">
        <f>IF('Data Entry'!$H$5="3.5% Declining",BI53*BI76,BI53/((1+BI$77)^BI$3))</f>
        <v>0</v>
      </c>
      <c r="BJ85" s="384">
        <f>IF('Data Entry'!$H$5="3.5% Declining",BJ53*BJ76,BJ53/((1+BJ$77)^BJ$3))</f>
        <v>0</v>
      </c>
      <c r="BK85" s="559">
        <f>IF('Data Entry'!$H$5="3.5% Declining",BK53*BK76,BK53/((1+BK$77)^BK$3))</f>
        <v>0</v>
      </c>
      <c r="BL85" s="384">
        <f>IF('Data Entry'!$H$5="3.5% Declining",BL53*BL76,BL53/((1+BL$77)^BL$3))</f>
        <v>0</v>
      </c>
      <c r="BM85" s="384">
        <f>IF('Data Entry'!$H$5="3.5% Declining",BM53*BM76,BM53/((1+BM$77)^BM$3))</f>
        <v>0</v>
      </c>
      <c r="BN85" s="384">
        <f>IF('Data Entry'!$H$5="3.5% Declining",BN53*BN76,BN53/((1+BN$77)^BN$3))</f>
        <v>0</v>
      </c>
      <c r="BO85" s="384">
        <f>IF('Data Entry'!$H$5="3.5% Declining",BO53*BO76,BO53/((1+BO$77)^BO$3))</f>
        <v>0</v>
      </c>
      <c r="BP85" s="384">
        <f>IF('Data Entry'!$H$5="3.5% Declining",BP53*BP76,BP53/((1+BP$77)^BP$3))</f>
        <v>0</v>
      </c>
      <c r="BQ85" s="384">
        <f>IF('Data Entry'!$H$5="3.5% Declining",BQ53*BQ76,BQ53/((1+BQ$77)^BQ$3))</f>
        <v>0</v>
      </c>
      <c r="BR85" s="384">
        <f>IF('Data Entry'!$H$5="3.5% Declining",BR53*BR76,BR53/((1+BR$77)^BR$3))</f>
        <v>0</v>
      </c>
      <c r="BS85" s="384">
        <f>IF('Data Entry'!$H$5="3.5% Declining",BS53*BS76,BS53/((1+BS$77)^BS$3))</f>
        <v>0</v>
      </c>
      <c r="BT85" s="384">
        <f>IF('Data Entry'!$H$5="3.5% Declining",BT53*BT76,BT53/((1+BT$77)^BT$3))</f>
        <v>0</v>
      </c>
      <c r="BU85" s="384">
        <f>IF('Data Entry'!$H$5="3.5% Declining",BU53*BU76,BU53/((1+BU$77)^BU$3))</f>
        <v>0</v>
      </c>
      <c r="BV85" s="384">
        <f>IF('Data Entry'!$H$5="3.5% Declining",BV53*BV76,BV53/((1+BV$77)^BV$3))</f>
        <v>0</v>
      </c>
      <c r="BW85" s="384">
        <f>IF('Data Entry'!$H$5="3.5% Declining",BW53*BW76,BW53/((1+BW$77)^BW$3))</f>
        <v>0</v>
      </c>
      <c r="BX85" s="384">
        <f>IF('Data Entry'!$H$5="3.5% Declining",BX53*BX76,BX53/((1+BX$77)^BX$3))</f>
        <v>0</v>
      </c>
      <c r="BY85" s="384">
        <f>IF('Data Entry'!$H$5="3.5% Declining",BY53*BY76,BY53/((1+BY$77)^BY$3))</f>
        <v>0</v>
      </c>
      <c r="BZ85" s="384">
        <f>IF('Data Entry'!$H$5="3.5% Declining",BZ53*BZ76,BZ53/((1+BZ$77)^BZ$3))</f>
        <v>0</v>
      </c>
      <c r="CA85" s="559">
        <f>IF('Data Entry'!$H$5="3.5% Declining",CA53*CA76,CA53/((1+CA$77)^CA$3))</f>
        <v>0</v>
      </c>
      <c r="CB85" s="384">
        <f>IF('Data Entry'!$H$5="3.5% Declining",CB53*CB76,CB53/((1+CB$77)^CB$3))</f>
        <v>0</v>
      </c>
      <c r="CC85" s="384">
        <f>IF('Data Entry'!$H$5="3.5% Declining",CC53*CC76,CC53/((1+CC$77)^CC$3))</f>
        <v>0</v>
      </c>
      <c r="CD85" s="384">
        <f>IF('Data Entry'!$H$5="3.5% Declining",CD53*CD76,CD53/((1+CD$77)^CD$3))</f>
        <v>0</v>
      </c>
      <c r="CE85" s="384">
        <f>IF('Data Entry'!$H$5="3.5% Declining",CE53*CE76,CE53/((1+CE$77)^CE$3))</f>
        <v>0</v>
      </c>
      <c r="CF85" s="384">
        <f>IF('Data Entry'!$H$5="3.5% Declining",CF53*CF76,CF53/((1+CF$77)^CF$3))</f>
        <v>0</v>
      </c>
      <c r="CG85" s="384">
        <f>IF('Data Entry'!$H$5="3.5% Declining",CG53*CG76,CG53/((1+CG$77)^CG$3))</f>
        <v>0</v>
      </c>
      <c r="CH85" s="384">
        <f>IF('Data Entry'!$H$5="3.5% Declining",CH53*CH76,CH53/((1+CH$77)^CH$3))</f>
        <v>0</v>
      </c>
      <c r="CI85" s="384">
        <f>IF('Data Entry'!$H$5="3.5% Declining",CI53*CI76,CI53/((1+CI$77)^CI$3))</f>
        <v>0</v>
      </c>
      <c r="CJ85" s="384">
        <f>IF('Data Entry'!$H$5="3.5% Declining",CJ53*CJ76,CJ53/((1+CJ$77)^CJ$3))</f>
        <v>0</v>
      </c>
      <c r="CK85" s="384">
        <f>IF('Data Entry'!$H$5="3.5% Declining",CK53*CK76,CK53/((1+CK$77)^CK$3))</f>
        <v>0</v>
      </c>
      <c r="CL85" s="384">
        <f>IF('Data Entry'!$H$5="3.5% Declining",CL53*CL76,CL53/((1+CL$77)^CL$3))</f>
        <v>0</v>
      </c>
      <c r="CM85" s="384">
        <f>IF('Data Entry'!$H$5="3.5% Declining",CM53*CM76,CM53/((1+CM$77)^CM$3))</f>
        <v>0</v>
      </c>
      <c r="CN85" s="384">
        <f>IF('Data Entry'!$H$5="3.5% Declining",CN53*CN76,CN53/((1+CN$77)^CN$3))</f>
        <v>0</v>
      </c>
      <c r="CO85" s="384">
        <f>IF('Data Entry'!$H$5="3.5% Declining",CO53*CO76,CO53/((1+CO$77)^CO$3))</f>
        <v>0</v>
      </c>
      <c r="CP85" s="384">
        <f>IF('Data Entry'!$H$5="3.5% Declining",CP53*CP76,CP53/((1+CP$77)^CP$3))</f>
        <v>0</v>
      </c>
      <c r="CQ85" s="384">
        <f>IF('Data Entry'!$H$5="3.5% Declining",CQ53*CQ76,CQ53/((1+CQ$77)^CQ$3))</f>
        <v>0</v>
      </c>
      <c r="CR85" s="384">
        <f>IF('Data Entry'!$H$5="3.5% Declining",CR53*CR76,CR53/((1+CR$77)^CR$3))</f>
        <v>0</v>
      </c>
      <c r="CS85" s="384">
        <f>IF('Data Entry'!$H$5="3.5% Declining",CS53*CS76,CS53/((1+CS$77)^CS$3))</f>
        <v>0</v>
      </c>
      <c r="CT85" s="384">
        <f>IF('Data Entry'!$H$5="3.5% Declining",CT53*CT76,CT53/((1+CT$77)^CT$3))</f>
        <v>0</v>
      </c>
      <c r="CU85" s="384">
        <f>IF('Data Entry'!$H$5="3.5% Declining",CU53*CU76,CU53/((1+CU$77)^CU$3))</f>
        <v>0</v>
      </c>
      <c r="CV85" s="384">
        <f>IF('Data Entry'!$H$5="3.5% Declining",CV53*CV76,CV53/((1+CV$77)^CV$3))</f>
        <v>0</v>
      </c>
      <c r="CW85" s="384">
        <f>IF('Data Entry'!$H$5="3.5% Declining",CW53*CW76,CW53/((1+CW$77)^CW$3))</f>
        <v>0</v>
      </c>
      <c r="CX85" s="384">
        <f>IF('Data Entry'!$H$5="3.5% Declining",CX53*CX76,CX53/((1+CX$77)^CX$3))</f>
        <v>0</v>
      </c>
      <c r="CY85" s="566">
        <f>IF('Data Entry'!$H$5="3.5% Declining",CY53*CY76,CY53/((1+CY$77)^CY$3))</f>
        <v>0</v>
      </c>
    </row>
    <row r="86" spans="1:103" ht="15" customHeight="1" x14ac:dyDescent="0.3">
      <c r="A86" s="758" t="s">
        <v>170</v>
      </c>
      <c r="B86" s="759"/>
      <c r="C86" s="760">
        <f t="shared" si="43"/>
        <v>0</v>
      </c>
      <c r="D86" s="384">
        <f>IF('Data Entry'!$H$5="3.5% Declining",D54*D76,D54/((1+D$77)^D$3))</f>
        <v>0</v>
      </c>
      <c r="E86" s="384">
        <f>IF('Data Entry'!$H$5="3.5% Declining",E54*E76,E54/((1+E$77)^E$3))</f>
        <v>0</v>
      </c>
      <c r="F86" s="384">
        <f>IF('Data Entry'!$H$5="3.5% Declining",F54*F76,F54/((1+F$77)^F$3))</f>
        <v>0</v>
      </c>
      <c r="G86" s="384">
        <f>IF('Data Entry'!$H$5="3.5% Declining",G54*G76,G54/((1+G$77)^G$3))</f>
        <v>0</v>
      </c>
      <c r="H86" s="384">
        <f>IF('Data Entry'!$H$5="3.5% Declining",H54*H76,H54/((1+H$77)^H$3))</f>
        <v>0</v>
      </c>
      <c r="I86" s="384">
        <f>IF('Data Entry'!$H$5="3.5% Declining",I54*I76,I54/((1+I$77)^I$3))</f>
        <v>0</v>
      </c>
      <c r="J86" s="384">
        <f>IF('Data Entry'!$H$5="3.5% Declining",J54*J76,J54/((1+J$77)^J$3))</f>
        <v>0</v>
      </c>
      <c r="K86" s="384">
        <f>IF('Data Entry'!$H$5="3.5% Declining",K54*K76,K54/((1+K$77)^K$3))</f>
        <v>0</v>
      </c>
      <c r="L86" s="384">
        <f>IF('Data Entry'!$H$5="3.5% Declining",L54*L76,L54/((1+L$77)^L$3))</f>
        <v>0</v>
      </c>
      <c r="M86" s="384">
        <f>IF('Data Entry'!$H$5="3.5% Declining",M54*M76,M54/((1+M$77)^M$3))</f>
        <v>0</v>
      </c>
      <c r="N86" s="384">
        <f>IF('Data Entry'!$H$5="3.5% Declining",N54*N76,N54/((1+N$77)^N$3))</f>
        <v>0</v>
      </c>
      <c r="O86" s="384">
        <f>IF('Data Entry'!$H$5="3.5% Declining",O54*O76,O54/((1+O$77)^O$3))</f>
        <v>0</v>
      </c>
      <c r="P86" s="384">
        <f>IF('Data Entry'!$H$5="3.5% Declining",P54*P76,P54/((1+P$77)^P$3))</f>
        <v>0</v>
      </c>
      <c r="Q86" s="384">
        <f>IF('Data Entry'!$H$5="3.5% Declining",Q54*Q76,Q54/((1+Q$77)^Q$3))</f>
        <v>0</v>
      </c>
      <c r="R86" s="384">
        <f>IF('Data Entry'!$H$5="3.5% Declining",R54*R76,R54/((1+R$77)^R$3))</f>
        <v>0</v>
      </c>
      <c r="S86" s="384">
        <f>IF('Data Entry'!$H$5="3.5% Declining",S54*S76,S54/((1+S$77)^S$3))</f>
        <v>0</v>
      </c>
      <c r="T86" s="384">
        <f>IF('Data Entry'!$H$5="3.5% Declining",T54*T76,T54/((1+T$77)^T$3))</f>
        <v>0</v>
      </c>
      <c r="U86" s="384">
        <f>IF('Data Entry'!$H$5="3.5% Declining",U54*U76,U54/((1+U$77)^U$3))</f>
        <v>0</v>
      </c>
      <c r="V86" s="384">
        <f>IF('Data Entry'!$H$5="3.5% Declining",V54*V76,V54/((1+V$77)^V$3))</f>
        <v>0</v>
      </c>
      <c r="W86" s="384">
        <f>IF('Data Entry'!$H$5="3.5% Declining",W54*W76,W54/((1+W$77)^W$3))</f>
        <v>0</v>
      </c>
      <c r="X86" s="384">
        <f>IF('Data Entry'!$H$5="3.5% Declining",X54*X76,X54/((1+X$77)^X$3))</f>
        <v>0</v>
      </c>
      <c r="Y86" s="384">
        <f>IF('Data Entry'!$H$5="3.5% Declining",Y54*Y76,Y54/((1+Y$77)^Y$3))</f>
        <v>0</v>
      </c>
      <c r="Z86" s="384">
        <f>IF('Data Entry'!$H$5="3.5% Declining",Z54*Z76,Z54/((1+Z$77)^Z$3))</f>
        <v>0</v>
      </c>
      <c r="AA86" s="384">
        <f>IF('Data Entry'!$H$5="3.5% Declining",AA54*AA76,AA54/((1+AA$77)^AA$3))</f>
        <v>0</v>
      </c>
      <c r="AB86" s="384">
        <f>IF('Data Entry'!$H$5="3.5% Declining",AB54*AB76,AB54/((1+AB$77)^AB$3))</f>
        <v>0</v>
      </c>
      <c r="AC86" s="384">
        <f>IF('Data Entry'!$H$5="3.5% Declining",AC54*AC76,AC54/((1+AC$77)^AC$3))</f>
        <v>0</v>
      </c>
      <c r="AD86" s="384">
        <f>IF('Data Entry'!$H$5="3.5% Declining",AD54*AD76,AD54/((1+AD$77)^AD$3))</f>
        <v>0</v>
      </c>
      <c r="AE86" s="384">
        <f>IF('Data Entry'!$H$5="3.5% Declining",AE54*AE76,AE54/((1+AE$77)^AE$3))</f>
        <v>0</v>
      </c>
      <c r="AF86" s="384">
        <f>IF('Data Entry'!$H$5="3.5% Declining",AF54*AF76,AF54/((1+AF$77)^AF$3))</f>
        <v>0</v>
      </c>
      <c r="AG86" s="384">
        <f>IF('Data Entry'!$H$5="3.5% Declining",AG54*AG76,AG54/((1+AG$77)^AG$3))</f>
        <v>0</v>
      </c>
      <c r="AH86" s="384">
        <f>IF('Data Entry'!$H$5="3.5% Declining",AH54*AH76,AH54/((1+AH$77)^AH$3))</f>
        <v>0</v>
      </c>
      <c r="AI86" s="384">
        <f>IF('Data Entry'!$H$5="3.5% Declining",AI54*AI76,AI54/((1+AI$77)^AI$3))</f>
        <v>0</v>
      </c>
      <c r="AJ86" s="384">
        <f>IF('Data Entry'!$H$5="3.5% Declining",AJ54*AJ76,AJ54/((1+AJ$77)^AJ$3))</f>
        <v>0</v>
      </c>
      <c r="AK86" s="384">
        <f>IF('Data Entry'!$H$5="3.5% Declining",AK54*AK76,AK54/((1+AK$77)^AK$3))</f>
        <v>0</v>
      </c>
      <c r="AL86" s="384">
        <f>IF('Data Entry'!$H$5="3.5% Declining",AL54*AL76,AL54/((1+AL$77)^AL$3))</f>
        <v>0</v>
      </c>
      <c r="AM86" s="384">
        <f>IF('Data Entry'!$H$5="3.5% Declining",AM54*AM76,AM54/((1+AM$77)^AM$3))</f>
        <v>0</v>
      </c>
      <c r="AN86" s="384">
        <f>IF('Data Entry'!$H$5="3.5% Declining",AN54*AN76,AN54/((1+AN$77)^AN$3))</f>
        <v>0</v>
      </c>
      <c r="AO86" s="559">
        <f>IF('Data Entry'!$H$5="3.5% Declining",AO54*AO76,AO54/((1+AO$77)^AO$3))</f>
        <v>0</v>
      </c>
      <c r="AP86" s="384">
        <f>IF('Data Entry'!$H$5="3.5% Declining",AP54*AP76,AP54/((1+AP$77)^AP$3))</f>
        <v>0</v>
      </c>
      <c r="AQ86" s="384">
        <f>IF('Data Entry'!$H$5="3.5% Declining",AQ54*AQ76,AQ54/((1+AQ$77)^AQ$3))</f>
        <v>0</v>
      </c>
      <c r="AR86" s="384">
        <f>IF('Data Entry'!$H$5="3.5% Declining",AR54*AR76,AR54/((1+AR$77)^AR$3))</f>
        <v>0</v>
      </c>
      <c r="AS86" s="384">
        <f>IF('Data Entry'!$H$5="3.5% Declining",AS54*AS76,AS54/((1+AS$77)^AS$3))</f>
        <v>0</v>
      </c>
      <c r="AT86" s="384">
        <f>IF('Data Entry'!$H$5="3.5% Declining",AT54*AT76,AT54/((1+AT$77)^AT$3))</f>
        <v>0</v>
      </c>
      <c r="AU86" s="384">
        <f>IF('Data Entry'!$H$5="3.5% Declining",AU54*AU76,AU54/((1+AU$77)^AU$3))</f>
        <v>0</v>
      </c>
      <c r="AV86" s="384">
        <f>IF('Data Entry'!$H$5="3.5% Declining",AV54*AV76,AV54/((1+AV$77)^AV$3))</f>
        <v>0</v>
      </c>
      <c r="AW86" s="384">
        <f>IF('Data Entry'!$H$5="3.5% Declining",AW54*AW76,AW54/((1+AW$77)^AW$3))</f>
        <v>0</v>
      </c>
      <c r="AX86" s="384">
        <f>IF('Data Entry'!$H$5="3.5% Declining",AX54*AX76,AX54/((1+AX$77)^AX$3))</f>
        <v>0</v>
      </c>
      <c r="AY86" s="384">
        <f>IF('Data Entry'!$H$5="3.5% Declining",AY54*AY76,AY54/((1+AY$77)^AY$3))</f>
        <v>0</v>
      </c>
      <c r="AZ86" s="384">
        <f>IF('Data Entry'!$H$5="3.5% Declining",AZ54*AZ76,AZ54/((1+AZ$77)^AZ$3))</f>
        <v>0</v>
      </c>
      <c r="BA86" s="384">
        <f>IF('Data Entry'!$H$5="3.5% Declining",BA54*BA76,BA54/((1+BA$77)^BA$3))</f>
        <v>0</v>
      </c>
      <c r="BB86" s="384">
        <f>IF('Data Entry'!$H$5="3.5% Declining",BB54*BB76,BB54/((1+BB$77)^BB$3))</f>
        <v>0</v>
      </c>
      <c r="BC86" s="384">
        <f>IF('Data Entry'!$H$5="3.5% Declining",BC54*BC76,BC54/((1+BC$77)^BC$3))</f>
        <v>0</v>
      </c>
      <c r="BD86" s="384">
        <f>IF('Data Entry'!$H$5="3.5% Declining",BD54*BD76,BD54/((1+BD$77)^BD$3))</f>
        <v>0</v>
      </c>
      <c r="BE86" s="384">
        <f>IF('Data Entry'!$H$5="3.5% Declining",BE54*BE76,BE54/((1+BE$77)^BE$3))</f>
        <v>0</v>
      </c>
      <c r="BF86" s="384">
        <f>IF('Data Entry'!$H$5="3.5% Declining",BF54*BF76,BF54/((1+BF$77)^BF$3))</f>
        <v>0</v>
      </c>
      <c r="BG86" s="384">
        <f>IF('Data Entry'!$H$5="3.5% Declining",BG54*BG76,BG54/((1+BG$77)^BG$3))</f>
        <v>0</v>
      </c>
      <c r="BH86" s="384">
        <f>IF('Data Entry'!$H$5="3.5% Declining",BH54*BH76,BH54/((1+BH$77)^BH$3))</f>
        <v>0</v>
      </c>
      <c r="BI86" s="384">
        <f>IF('Data Entry'!$H$5="3.5% Declining",BI54*BI76,BI54/((1+BI$77)^BI$3))</f>
        <v>0</v>
      </c>
      <c r="BJ86" s="384">
        <f>IF('Data Entry'!$H$5="3.5% Declining",BJ54*BJ76,BJ54/((1+BJ$77)^BJ$3))</f>
        <v>0</v>
      </c>
      <c r="BK86" s="559">
        <f>IF('Data Entry'!$H$5="3.5% Declining",BK54*BK76,BK54/((1+BK$77)^BK$3))</f>
        <v>0</v>
      </c>
      <c r="BL86" s="384">
        <f>IF('Data Entry'!$H$5="3.5% Declining",BL54*BL76,BL54/((1+BL$77)^BL$3))</f>
        <v>0</v>
      </c>
      <c r="BM86" s="384">
        <f>IF('Data Entry'!$H$5="3.5% Declining",BM54*BM76,BM54/((1+BM$77)^BM$3))</f>
        <v>0</v>
      </c>
      <c r="BN86" s="384">
        <f>IF('Data Entry'!$H$5="3.5% Declining",BN54*BN76,BN54/((1+BN$77)^BN$3))</f>
        <v>0</v>
      </c>
      <c r="BO86" s="384">
        <f>IF('Data Entry'!$H$5="3.5% Declining",BO54*BO76,BO54/((1+BO$77)^BO$3))</f>
        <v>0</v>
      </c>
      <c r="BP86" s="384">
        <f>IF('Data Entry'!$H$5="3.5% Declining",BP54*BP76,BP54/((1+BP$77)^BP$3))</f>
        <v>0</v>
      </c>
      <c r="BQ86" s="384">
        <f>IF('Data Entry'!$H$5="3.5% Declining",BQ54*BQ76,BQ54/((1+BQ$77)^BQ$3))</f>
        <v>0</v>
      </c>
      <c r="BR86" s="384">
        <f>IF('Data Entry'!$H$5="3.5% Declining",BR54*BR76,BR54/((1+BR$77)^BR$3))</f>
        <v>0</v>
      </c>
      <c r="BS86" s="384">
        <f>IF('Data Entry'!$H$5="3.5% Declining",BS54*BS76,BS54/((1+BS$77)^BS$3))</f>
        <v>0</v>
      </c>
      <c r="BT86" s="384">
        <f>IF('Data Entry'!$H$5="3.5% Declining",BT54*BT76,BT54/((1+BT$77)^BT$3))</f>
        <v>0</v>
      </c>
      <c r="BU86" s="384">
        <f>IF('Data Entry'!$H$5="3.5% Declining",BU54*BU76,BU54/((1+BU$77)^BU$3))</f>
        <v>0</v>
      </c>
      <c r="BV86" s="384">
        <f>IF('Data Entry'!$H$5="3.5% Declining",BV54*BV76,BV54/((1+BV$77)^BV$3))</f>
        <v>0</v>
      </c>
      <c r="BW86" s="384">
        <f>IF('Data Entry'!$H$5="3.5% Declining",BW54*BW76,BW54/((1+BW$77)^BW$3))</f>
        <v>0</v>
      </c>
      <c r="BX86" s="384">
        <f>IF('Data Entry'!$H$5="3.5% Declining",BX54*BX76,BX54/((1+BX$77)^BX$3))</f>
        <v>0</v>
      </c>
      <c r="BY86" s="384">
        <f>IF('Data Entry'!$H$5="3.5% Declining",BY54*BY76,BY54/((1+BY$77)^BY$3))</f>
        <v>0</v>
      </c>
      <c r="BZ86" s="384">
        <f>IF('Data Entry'!$H$5="3.5% Declining",BZ54*BZ76,BZ54/((1+BZ$77)^BZ$3))</f>
        <v>0</v>
      </c>
      <c r="CA86" s="559">
        <f>IF('Data Entry'!$H$5="3.5% Declining",CA54*CA76,CA54/((1+CA$77)^CA$3))</f>
        <v>0</v>
      </c>
      <c r="CB86" s="384">
        <f>IF('Data Entry'!$H$5="3.5% Declining",CB54*CB76,CB54/((1+CB$77)^CB$3))</f>
        <v>0</v>
      </c>
      <c r="CC86" s="384">
        <f>IF('Data Entry'!$H$5="3.5% Declining",CC54*CC76,CC54/((1+CC$77)^CC$3))</f>
        <v>0</v>
      </c>
      <c r="CD86" s="384">
        <f>IF('Data Entry'!$H$5="3.5% Declining",CD54*CD76,CD54/((1+CD$77)^CD$3))</f>
        <v>0</v>
      </c>
      <c r="CE86" s="384">
        <f>IF('Data Entry'!$H$5="3.5% Declining",CE54*CE76,CE54/((1+CE$77)^CE$3))</f>
        <v>0</v>
      </c>
      <c r="CF86" s="384">
        <f>IF('Data Entry'!$H$5="3.5% Declining",CF54*CF76,CF54/((1+CF$77)^CF$3))</f>
        <v>0</v>
      </c>
      <c r="CG86" s="384">
        <f>IF('Data Entry'!$H$5="3.5% Declining",CG54*CG76,CG54/((1+CG$77)^CG$3))</f>
        <v>0</v>
      </c>
      <c r="CH86" s="384">
        <f>IF('Data Entry'!$H$5="3.5% Declining",CH54*CH76,CH54/((1+CH$77)^CH$3))</f>
        <v>0</v>
      </c>
      <c r="CI86" s="384">
        <f>IF('Data Entry'!$H$5="3.5% Declining",CI54*CI76,CI54/((1+CI$77)^CI$3))</f>
        <v>0</v>
      </c>
      <c r="CJ86" s="384">
        <f>IF('Data Entry'!$H$5="3.5% Declining",CJ54*CJ76,CJ54/((1+CJ$77)^CJ$3))</f>
        <v>0</v>
      </c>
      <c r="CK86" s="384">
        <f>IF('Data Entry'!$H$5="3.5% Declining",CK54*CK76,CK54/((1+CK$77)^CK$3))</f>
        <v>0</v>
      </c>
      <c r="CL86" s="384">
        <f>IF('Data Entry'!$H$5="3.5% Declining",CL54*CL76,CL54/((1+CL$77)^CL$3))</f>
        <v>0</v>
      </c>
      <c r="CM86" s="384">
        <f>IF('Data Entry'!$H$5="3.5% Declining",CM54*CM76,CM54/((1+CM$77)^CM$3))</f>
        <v>0</v>
      </c>
      <c r="CN86" s="384">
        <f>IF('Data Entry'!$H$5="3.5% Declining",CN54*CN76,CN54/((1+CN$77)^CN$3))</f>
        <v>0</v>
      </c>
      <c r="CO86" s="384">
        <f>IF('Data Entry'!$H$5="3.5% Declining",CO54*CO76,CO54/((1+CO$77)^CO$3))</f>
        <v>0</v>
      </c>
      <c r="CP86" s="384">
        <f>IF('Data Entry'!$H$5="3.5% Declining",CP54*CP76,CP54/((1+CP$77)^CP$3))</f>
        <v>0</v>
      </c>
      <c r="CQ86" s="384">
        <f>IF('Data Entry'!$H$5="3.5% Declining",CQ54*CQ76,CQ54/((1+CQ$77)^CQ$3))</f>
        <v>0</v>
      </c>
      <c r="CR86" s="384">
        <f>IF('Data Entry'!$H$5="3.5% Declining",CR54*CR76,CR54/((1+CR$77)^CR$3))</f>
        <v>0</v>
      </c>
      <c r="CS86" s="384">
        <f>IF('Data Entry'!$H$5="3.5% Declining",CS54*CS76,CS54/((1+CS$77)^CS$3))</f>
        <v>0</v>
      </c>
      <c r="CT86" s="384">
        <f>IF('Data Entry'!$H$5="3.5% Declining",CT54*CT76,CT54/((1+CT$77)^CT$3))</f>
        <v>0</v>
      </c>
      <c r="CU86" s="384">
        <f>IF('Data Entry'!$H$5="3.5% Declining",CU54*CU76,CU54/((1+CU$77)^CU$3))</f>
        <v>0</v>
      </c>
      <c r="CV86" s="384">
        <f>IF('Data Entry'!$H$5="3.5% Declining",CV54*CV76,CV54/((1+CV$77)^CV$3))</f>
        <v>0</v>
      </c>
      <c r="CW86" s="384">
        <f>IF('Data Entry'!$H$5="3.5% Declining",CW54*CW76,CW54/((1+CW$77)^CW$3))</f>
        <v>0</v>
      </c>
      <c r="CX86" s="384">
        <f>IF('Data Entry'!$H$5="3.5% Declining",CX54*CX76,CX54/((1+CX$77)^CX$3))</f>
        <v>0</v>
      </c>
      <c r="CY86" s="566">
        <f>IF('Data Entry'!$H$5="3.5% Declining",CY54*CY76,CY54/((1+CY$77)^CY$3))</f>
        <v>0</v>
      </c>
    </row>
    <row r="87" spans="1:103" x14ac:dyDescent="0.3">
      <c r="A87" s="758" t="str">
        <f t="shared" ref="A87:A92" si="44">CONCATENATE("Discounted ",B55)</f>
        <v>Discounted Other regular payments/sponsorships/donations (specify)</v>
      </c>
      <c r="B87" s="761"/>
      <c r="C87" s="760">
        <f t="shared" si="43"/>
        <v>0</v>
      </c>
      <c r="D87" s="384">
        <f>IF('Data Entry'!$H$5="3.5% Declining",D55*D76,D55/((1+D$77)^D$3))</f>
        <v>0</v>
      </c>
      <c r="E87" s="384">
        <f>IF('Data Entry'!$H$5="3.5% Declining",E55*E76,E55/((1+E$77)^E$3))</f>
        <v>0</v>
      </c>
      <c r="F87" s="384">
        <f>IF('Data Entry'!$H$5="3.5% Declining",F55*F76,F55/((1+F$77)^F$3))</f>
        <v>0</v>
      </c>
      <c r="G87" s="384">
        <f>IF('Data Entry'!$H$5="3.5% Declining",G55*G76,G55/((1+G$77)^G$3))</f>
        <v>0</v>
      </c>
      <c r="H87" s="384">
        <f>IF('Data Entry'!$H$5="3.5% Declining",H55*H76,H55/((1+H$77)^H$3))</f>
        <v>0</v>
      </c>
      <c r="I87" s="384">
        <f>IF('Data Entry'!$H$5="3.5% Declining",I55*I76,I55/((1+I$77)^I$3))</f>
        <v>0</v>
      </c>
      <c r="J87" s="384">
        <f>IF('Data Entry'!$H$5="3.5% Declining",J55*J76,J55/((1+J$77)^J$3))</f>
        <v>0</v>
      </c>
      <c r="K87" s="384">
        <f>IF('Data Entry'!$H$5="3.5% Declining",K55*K76,K55/((1+K$77)^K$3))</f>
        <v>0</v>
      </c>
      <c r="L87" s="384">
        <f>IF('Data Entry'!$H$5="3.5% Declining",L55*L76,L55/((1+L$77)^L$3))</f>
        <v>0</v>
      </c>
      <c r="M87" s="384">
        <f>IF('Data Entry'!$H$5="3.5% Declining",M55*M76,M55/((1+M$77)^M$3))</f>
        <v>0</v>
      </c>
      <c r="N87" s="384">
        <f>IF('Data Entry'!$H$5="3.5% Declining",N55*N76,N55/((1+N$77)^N$3))</f>
        <v>0</v>
      </c>
      <c r="O87" s="384">
        <f>IF('Data Entry'!$H$5="3.5% Declining",O55*O76,O55/((1+O$77)^O$3))</f>
        <v>0</v>
      </c>
      <c r="P87" s="384">
        <f>IF('Data Entry'!$H$5="3.5% Declining",P55*P76,P55/((1+P$77)^P$3))</f>
        <v>0</v>
      </c>
      <c r="Q87" s="384">
        <f>IF('Data Entry'!$H$5="3.5% Declining",Q55*Q76,Q55/((1+Q$77)^Q$3))</f>
        <v>0</v>
      </c>
      <c r="R87" s="384">
        <f>IF('Data Entry'!$H$5="3.5% Declining",R55*R76,R55/((1+R$77)^R$3))</f>
        <v>0</v>
      </c>
      <c r="S87" s="384">
        <f>IF('Data Entry'!$H$5="3.5% Declining",S55*S76,S55/((1+S$77)^S$3))</f>
        <v>0</v>
      </c>
      <c r="T87" s="384">
        <f>IF('Data Entry'!$H$5="3.5% Declining",T55*T76,T55/((1+T$77)^T$3))</f>
        <v>0</v>
      </c>
      <c r="U87" s="384">
        <f>IF('Data Entry'!$H$5="3.5% Declining",U55*U76,U55/((1+U$77)^U$3))</f>
        <v>0</v>
      </c>
      <c r="V87" s="384">
        <f>IF('Data Entry'!$H$5="3.5% Declining",V55*V76,V55/((1+V$77)^V$3))</f>
        <v>0</v>
      </c>
      <c r="W87" s="384">
        <f>IF('Data Entry'!$H$5="3.5% Declining",W55*W76,W55/((1+W$77)^W$3))</f>
        <v>0</v>
      </c>
      <c r="X87" s="384">
        <f>IF('Data Entry'!$H$5="3.5% Declining",X55*X76,X55/((1+X$77)^X$3))</f>
        <v>0</v>
      </c>
      <c r="Y87" s="384">
        <f>IF('Data Entry'!$H$5="3.5% Declining",Y55*Y76,Y55/((1+Y$77)^Y$3))</f>
        <v>0</v>
      </c>
      <c r="Z87" s="384">
        <f>IF('Data Entry'!$H$5="3.5% Declining",Z55*Z76,Z55/((1+Z$77)^Z$3))</f>
        <v>0</v>
      </c>
      <c r="AA87" s="384">
        <f>IF('Data Entry'!$H$5="3.5% Declining",AA55*AA76,AA55/((1+AA$77)^AA$3))</f>
        <v>0</v>
      </c>
      <c r="AB87" s="384">
        <f>IF('Data Entry'!$H$5="3.5% Declining",AB55*AB76,AB55/((1+AB$77)^AB$3))</f>
        <v>0</v>
      </c>
      <c r="AC87" s="384">
        <f>IF('Data Entry'!$H$5="3.5% Declining",AC55*AC76,AC55/((1+AC$77)^AC$3))</f>
        <v>0</v>
      </c>
      <c r="AD87" s="384">
        <f>IF('Data Entry'!$H$5="3.5% Declining",AD55*AD76,AD55/((1+AD$77)^AD$3))</f>
        <v>0</v>
      </c>
      <c r="AE87" s="384">
        <f>IF('Data Entry'!$H$5="3.5% Declining",AE55*AE76,AE55/((1+AE$77)^AE$3))</f>
        <v>0</v>
      </c>
      <c r="AF87" s="384">
        <f>IF('Data Entry'!$H$5="3.5% Declining",AF55*AF76,AF55/((1+AF$77)^AF$3))</f>
        <v>0</v>
      </c>
      <c r="AG87" s="384">
        <f>IF('Data Entry'!$H$5="3.5% Declining",AG55*AG76,AG55/((1+AG$77)^AG$3))</f>
        <v>0</v>
      </c>
      <c r="AH87" s="384">
        <f>IF('Data Entry'!$H$5="3.5% Declining",AH55*AH76,AH55/((1+AH$77)^AH$3))</f>
        <v>0</v>
      </c>
      <c r="AI87" s="384">
        <f>IF('Data Entry'!$H$5="3.5% Declining",AI55*AI76,AI55/((1+AI$77)^AI$3))</f>
        <v>0</v>
      </c>
      <c r="AJ87" s="384">
        <f>IF('Data Entry'!$H$5="3.5% Declining",AJ55*AJ76,AJ55/((1+AJ$77)^AJ$3))</f>
        <v>0</v>
      </c>
      <c r="AK87" s="384">
        <f>IF('Data Entry'!$H$5="3.5% Declining",AK55*AK76,AK55/((1+AK$77)^AK$3))</f>
        <v>0</v>
      </c>
      <c r="AL87" s="384">
        <f>IF('Data Entry'!$H$5="3.5% Declining",AL55*AL76,AL55/((1+AL$77)^AL$3))</f>
        <v>0</v>
      </c>
      <c r="AM87" s="384">
        <f>IF('Data Entry'!$H$5="3.5% Declining",AM55*AM76,AM55/((1+AM$77)^AM$3))</f>
        <v>0</v>
      </c>
      <c r="AN87" s="384">
        <f>IF('Data Entry'!$H$5="3.5% Declining",AN55*AN76,AN55/((1+AN$77)^AN$3))</f>
        <v>0</v>
      </c>
      <c r="AO87" s="559">
        <f>IF('Data Entry'!$H$5="3.5% Declining",AO55*AO76,AO55/((1+AO$77)^AO$3))</f>
        <v>0</v>
      </c>
      <c r="AP87" s="384">
        <f>IF('Data Entry'!$H$5="3.5% Declining",AP55*AP76,AP55/((1+AP$77)^AP$3))</f>
        <v>0</v>
      </c>
      <c r="AQ87" s="384">
        <f>IF('Data Entry'!$H$5="3.5% Declining",AQ55*AQ76,AQ55/((1+AQ$77)^AQ$3))</f>
        <v>0</v>
      </c>
      <c r="AR87" s="384">
        <f>IF('Data Entry'!$H$5="3.5% Declining",AR55*AR76,AR55/((1+AR$77)^AR$3))</f>
        <v>0</v>
      </c>
      <c r="AS87" s="384">
        <f>IF('Data Entry'!$H$5="3.5% Declining",AS55*AS76,AS55/((1+AS$77)^AS$3))</f>
        <v>0</v>
      </c>
      <c r="AT87" s="384">
        <f>IF('Data Entry'!$H$5="3.5% Declining",AT55*AT76,AT55/((1+AT$77)^AT$3))</f>
        <v>0</v>
      </c>
      <c r="AU87" s="384">
        <f>IF('Data Entry'!$H$5="3.5% Declining",AU55*AU76,AU55/((1+AU$77)^AU$3))</f>
        <v>0</v>
      </c>
      <c r="AV87" s="384">
        <f>IF('Data Entry'!$H$5="3.5% Declining",AV55*AV76,AV55/((1+AV$77)^AV$3))</f>
        <v>0</v>
      </c>
      <c r="AW87" s="384">
        <f>IF('Data Entry'!$H$5="3.5% Declining",AW55*AW76,AW55/((1+AW$77)^AW$3))</f>
        <v>0</v>
      </c>
      <c r="AX87" s="384">
        <f>IF('Data Entry'!$H$5="3.5% Declining",AX55*AX76,AX55/((1+AX$77)^AX$3))</f>
        <v>0</v>
      </c>
      <c r="AY87" s="384">
        <f>IF('Data Entry'!$H$5="3.5% Declining",AY55*AY76,AY55/((1+AY$77)^AY$3))</f>
        <v>0</v>
      </c>
      <c r="AZ87" s="384">
        <f>IF('Data Entry'!$H$5="3.5% Declining",AZ55*AZ76,AZ55/((1+AZ$77)^AZ$3))</f>
        <v>0</v>
      </c>
      <c r="BA87" s="384">
        <f>IF('Data Entry'!$H$5="3.5% Declining",BA55*BA76,BA55/((1+BA$77)^BA$3))</f>
        <v>0</v>
      </c>
      <c r="BB87" s="384">
        <f>IF('Data Entry'!$H$5="3.5% Declining",BB55*BB76,BB55/((1+BB$77)^BB$3))</f>
        <v>0</v>
      </c>
      <c r="BC87" s="384">
        <f>IF('Data Entry'!$H$5="3.5% Declining",BC55*BC76,BC55/((1+BC$77)^BC$3))</f>
        <v>0</v>
      </c>
      <c r="BD87" s="384">
        <f>IF('Data Entry'!$H$5="3.5% Declining",BD55*BD76,BD55/((1+BD$77)^BD$3))</f>
        <v>0</v>
      </c>
      <c r="BE87" s="384">
        <f>IF('Data Entry'!$H$5="3.5% Declining",BE55*BE76,BE55/((1+BE$77)^BE$3))</f>
        <v>0</v>
      </c>
      <c r="BF87" s="384">
        <f>IF('Data Entry'!$H$5="3.5% Declining",BF55*BF76,BF55/((1+BF$77)^BF$3))</f>
        <v>0</v>
      </c>
      <c r="BG87" s="384">
        <f>IF('Data Entry'!$H$5="3.5% Declining",BG55*BG76,BG55/((1+BG$77)^BG$3))</f>
        <v>0</v>
      </c>
      <c r="BH87" s="384">
        <f>IF('Data Entry'!$H$5="3.5% Declining",BH55*BH76,BH55/((1+BH$77)^BH$3))</f>
        <v>0</v>
      </c>
      <c r="BI87" s="384">
        <f>IF('Data Entry'!$H$5="3.5% Declining",BI55*BI76,BI55/((1+BI$77)^BI$3))</f>
        <v>0</v>
      </c>
      <c r="BJ87" s="384">
        <f>IF('Data Entry'!$H$5="3.5% Declining",BJ55*BJ76,BJ55/((1+BJ$77)^BJ$3))</f>
        <v>0</v>
      </c>
      <c r="BK87" s="559">
        <f>IF('Data Entry'!$H$5="3.5% Declining",BK55*BK76,BK55/((1+BK$77)^BK$3))</f>
        <v>0</v>
      </c>
      <c r="BL87" s="384">
        <f>IF('Data Entry'!$H$5="3.5% Declining",BL55*BL76,BL55/((1+BL$77)^BL$3))</f>
        <v>0</v>
      </c>
      <c r="BM87" s="384">
        <f>IF('Data Entry'!$H$5="3.5% Declining",BM55*BM76,BM55/((1+BM$77)^BM$3))</f>
        <v>0</v>
      </c>
      <c r="BN87" s="384">
        <f>IF('Data Entry'!$H$5="3.5% Declining",BN55*BN76,BN55/((1+BN$77)^BN$3))</f>
        <v>0</v>
      </c>
      <c r="BO87" s="384">
        <f>IF('Data Entry'!$H$5="3.5% Declining",BO55*BO76,BO55/((1+BO$77)^BO$3))</f>
        <v>0</v>
      </c>
      <c r="BP87" s="384">
        <f>IF('Data Entry'!$H$5="3.5% Declining",BP55*BP76,BP55/((1+BP$77)^BP$3))</f>
        <v>0</v>
      </c>
      <c r="BQ87" s="384">
        <f>IF('Data Entry'!$H$5="3.5% Declining",BQ55*BQ76,BQ55/((1+BQ$77)^BQ$3))</f>
        <v>0</v>
      </c>
      <c r="BR87" s="384">
        <f>IF('Data Entry'!$H$5="3.5% Declining",BR55*BR76,BR55/((1+BR$77)^BR$3))</f>
        <v>0</v>
      </c>
      <c r="BS87" s="384">
        <f>IF('Data Entry'!$H$5="3.5% Declining",BS55*BS76,BS55/((1+BS$77)^BS$3))</f>
        <v>0</v>
      </c>
      <c r="BT87" s="384">
        <f>IF('Data Entry'!$H$5="3.5% Declining",BT55*BT76,BT55/((1+BT$77)^BT$3))</f>
        <v>0</v>
      </c>
      <c r="BU87" s="384">
        <f>IF('Data Entry'!$H$5="3.5% Declining",BU55*BU76,BU55/((1+BU$77)^BU$3))</f>
        <v>0</v>
      </c>
      <c r="BV87" s="384">
        <f>IF('Data Entry'!$H$5="3.5% Declining",BV55*BV76,BV55/((1+BV$77)^BV$3))</f>
        <v>0</v>
      </c>
      <c r="BW87" s="384">
        <f>IF('Data Entry'!$H$5="3.5% Declining",BW55*BW76,BW55/((1+BW$77)^BW$3))</f>
        <v>0</v>
      </c>
      <c r="BX87" s="384">
        <f>IF('Data Entry'!$H$5="3.5% Declining",BX55*BX76,BX55/((1+BX$77)^BX$3))</f>
        <v>0</v>
      </c>
      <c r="BY87" s="384">
        <f>IF('Data Entry'!$H$5="3.5% Declining",BY55*BY76,BY55/((1+BY$77)^BY$3))</f>
        <v>0</v>
      </c>
      <c r="BZ87" s="384">
        <f>IF('Data Entry'!$H$5="3.5% Declining",BZ55*BZ76,BZ55/((1+BZ$77)^BZ$3))</f>
        <v>0</v>
      </c>
      <c r="CA87" s="559">
        <f>IF('Data Entry'!$H$5="3.5% Declining",CA55*CA76,CA55/((1+CA$77)^CA$3))</f>
        <v>0</v>
      </c>
      <c r="CB87" s="384">
        <f>IF('Data Entry'!$H$5="3.5% Declining",CB55*CB76,CB55/((1+CB$77)^CB$3))</f>
        <v>0</v>
      </c>
      <c r="CC87" s="384">
        <f>IF('Data Entry'!$H$5="3.5% Declining",CC55*CC76,CC55/((1+CC$77)^CC$3))</f>
        <v>0</v>
      </c>
      <c r="CD87" s="384">
        <f>IF('Data Entry'!$H$5="3.5% Declining",CD55*CD76,CD55/((1+CD$77)^CD$3))</f>
        <v>0</v>
      </c>
      <c r="CE87" s="384">
        <f>IF('Data Entry'!$H$5="3.5% Declining",CE55*CE76,CE55/((1+CE$77)^CE$3))</f>
        <v>0</v>
      </c>
      <c r="CF87" s="384">
        <f>IF('Data Entry'!$H$5="3.5% Declining",CF55*CF76,CF55/((1+CF$77)^CF$3))</f>
        <v>0</v>
      </c>
      <c r="CG87" s="384">
        <f>IF('Data Entry'!$H$5="3.5% Declining",CG55*CG76,CG55/((1+CG$77)^CG$3))</f>
        <v>0</v>
      </c>
      <c r="CH87" s="384">
        <f>IF('Data Entry'!$H$5="3.5% Declining",CH55*CH76,CH55/((1+CH$77)^CH$3))</f>
        <v>0</v>
      </c>
      <c r="CI87" s="384">
        <f>IF('Data Entry'!$H$5="3.5% Declining",CI55*CI76,CI55/((1+CI$77)^CI$3))</f>
        <v>0</v>
      </c>
      <c r="CJ87" s="384">
        <f>IF('Data Entry'!$H$5="3.5% Declining",CJ55*CJ76,CJ55/((1+CJ$77)^CJ$3))</f>
        <v>0</v>
      </c>
      <c r="CK87" s="384">
        <f>IF('Data Entry'!$H$5="3.5% Declining",CK55*CK76,CK55/((1+CK$77)^CK$3))</f>
        <v>0</v>
      </c>
      <c r="CL87" s="384">
        <f>IF('Data Entry'!$H$5="3.5% Declining",CL55*CL76,CL55/((1+CL$77)^CL$3))</f>
        <v>0</v>
      </c>
      <c r="CM87" s="384">
        <f>IF('Data Entry'!$H$5="3.5% Declining",CM55*CM76,CM55/((1+CM$77)^CM$3))</f>
        <v>0</v>
      </c>
      <c r="CN87" s="384">
        <f>IF('Data Entry'!$H$5="3.5% Declining",CN55*CN76,CN55/((1+CN$77)^CN$3))</f>
        <v>0</v>
      </c>
      <c r="CO87" s="384">
        <f>IF('Data Entry'!$H$5="3.5% Declining",CO55*CO76,CO55/((1+CO$77)^CO$3))</f>
        <v>0</v>
      </c>
      <c r="CP87" s="384">
        <f>IF('Data Entry'!$H$5="3.5% Declining",CP55*CP76,CP55/((1+CP$77)^CP$3))</f>
        <v>0</v>
      </c>
      <c r="CQ87" s="384">
        <f>IF('Data Entry'!$H$5="3.5% Declining",CQ55*CQ76,CQ55/((1+CQ$77)^CQ$3))</f>
        <v>0</v>
      </c>
      <c r="CR87" s="384">
        <f>IF('Data Entry'!$H$5="3.5% Declining",CR55*CR76,CR55/((1+CR$77)^CR$3))</f>
        <v>0</v>
      </c>
      <c r="CS87" s="384">
        <f>IF('Data Entry'!$H$5="3.5% Declining",CS55*CS76,CS55/((1+CS$77)^CS$3))</f>
        <v>0</v>
      </c>
      <c r="CT87" s="384">
        <f>IF('Data Entry'!$H$5="3.5% Declining",CT55*CT76,CT55/((1+CT$77)^CT$3))</f>
        <v>0</v>
      </c>
      <c r="CU87" s="384">
        <f>IF('Data Entry'!$H$5="3.5% Declining",CU55*CU76,CU55/((1+CU$77)^CU$3))</f>
        <v>0</v>
      </c>
      <c r="CV87" s="384">
        <f>IF('Data Entry'!$H$5="3.5% Declining",CV55*CV76,CV55/((1+CV$77)^CV$3))</f>
        <v>0</v>
      </c>
      <c r="CW87" s="384">
        <f>IF('Data Entry'!$H$5="3.5% Declining",CW55*CW76,CW55/((1+CW$77)^CW$3))</f>
        <v>0</v>
      </c>
      <c r="CX87" s="384">
        <f>IF('Data Entry'!$H$5="3.5% Declining",CX55*CX76,CX55/((1+CX$77)^CX$3))</f>
        <v>0</v>
      </c>
      <c r="CY87" s="566">
        <f>IF('Data Entry'!$H$5="3.5% Declining",CY55*CY76,CY55/((1+CY$77)^CY$3))</f>
        <v>0</v>
      </c>
    </row>
    <row r="88" spans="1:103" x14ac:dyDescent="0.3">
      <c r="A88" s="758" t="str">
        <f t="shared" si="44"/>
        <v>Discounted Other regular payments/sponsorships/donations (specify)</v>
      </c>
      <c r="B88" s="761"/>
      <c r="C88" s="760">
        <f t="shared" ref="C88" si="45">SUM(D88:CY88)</f>
        <v>0</v>
      </c>
      <c r="D88" s="384">
        <f>IF('Data Entry'!$H$5="3.5% Declining",D56*D76,D56/((1+D$77)^D$3))</f>
        <v>0</v>
      </c>
      <c r="E88" s="384">
        <f>IF('Data Entry'!$H$5="3.5% Declining",E56*E76,E56/((1+E$77)^E$3))</f>
        <v>0</v>
      </c>
      <c r="F88" s="384">
        <f>IF('Data Entry'!$H$5="3.5% Declining",F56*F76,F56/((1+F$77)^F$3))</f>
        <v>0</v>
      </c>
      <c r="G88" s="384">
        <f>IF('Data Entry'!$H$5="3.5% Declining",G56*G76,G56/((1+G$77)^G$3))</f>
        <v>0</v>
      </c>
      <c r="H88" s="384">
        <f>IF('Data Entry'!$H$5="3.5% Declining",H56*H76,H56/((1+H$77)^H$3))</f>
        <v>0</v>
      </c>
      <c r="I88" s="384">
        <f>IF('Data Entry'!$H$5="3.5% Declining",I56*I76,I56/((1+I$77)^I$3))</f>
        <v>0</v>
      </c>
      <c r="J88" s="384">
        <f>IF('Data Entry'!$H$5="3.5% Declining",J56*J76,J56/((1+J$77)^J$3))</f>
        <v>0</v>
      </c>
      <c r="K88" s="384">
        <f>IF('Data Entry'!$H$5="3.5% Declining",K56*K76,K56/((1+K$77)^K$3))</f>
        <v>0</v>
      </c>
      <c r="L88" s="384">
        <f>IF('Data Entry'!$H$5="3.5% Declining",L56*L76,L56/((1+L$77)^L$3))</f>
        <v>0</v>
      </c>
      <c r="M88" s="384">
        <f>IF('Data Entry'!$H$5="3.5% Declining",M56*M76,M56/((1+M$77)^M$3))</f>
        <v>0</v>
      </c>
      <c r="N88" s="384">
        <f>IF('Data Entry'!$H$5="3.5% Declining",N56*N76,N56/((1+N$77)^N$3))</f>
        <v>0</v>
      </c>
      <c r="O88" s="384">
        <f>IF('Data Entry'!$H$5="3.5% Declining",O56*O76,O56/((1+O$77)^O$3))</f>
        <v>0</v>
      </c>
      <c r="P88" s="384">
        <f>IF('Data Entry'!$H$5="3.5% Declining",P56*P76,P56/((1+P$77)^P$3))</f>
        <v>0</v>
      </c>
      <c r="Q88" s="384">
        <f>IF('Data Entry'!$H$5="3.5% Declining",Q56*Q76,Q56/((1+Q$77)^Q$3))</f>
        <v>0</v>
      </c>
      <c r="R88" s="384">
        <f>IF('Data Entry'!$H$5="3.5% Declining",R56*R76,R56/((1+R$77)^R$3))</f>
        <v>0</v>
      </c>
      <c r="S88" s="384">
        <f>IF('Data Entry'!$H$5="3.5% Declining",S56*S76,S56/((1+S$77)^S$3))</f>
        <v>0</v>
      </c>
      <c r="T88" s="384">
        <f>IF('Data Entry'!$H$5="3.5% Declining",T56*T76,T56/((1+T$77)^T$3))</f>
        <v>0</v>
      </c>
      <c r="U88" s="384">
        <f>IF('Data Entry'!$H$5="3.5% Declining",U56*U76,U56/((1+U$77)^U$3))</f>
        <v>0</v>
      </c>
      <c r="V88" s="384">
        <f>IF('Data Entry'!$H$5="3.5% Declining",V56*V76,V56/((1+V$77)^V$3))</f>
        <v>0</v>
      </c>
      <c r="W88" s="384">
        <f>IF('Data Entry'!$H$5="3.5% Declining",W56*W76,W56/((1+W$77)^W$3))</f>
        <v>0</v>
      </c>
      <c r="X88" s="384">
        <f>IF('Data Entry'!$H$5="3.5% Declining",X56*X76,X56/((1+X$77)^X$3))</f>
        <v>0</v>
      </c>
      <c r="Y88" s="384">
        <f>IF('Data Entry'!$H$5="3.5% Declining",Y56*Y76,Y56/((1+Y$77)^Y$3))</f>
        <v>0</v>
      </c>
      <c r="Z88" s="384">
        <f>IF('Data Entry'!$H$5="3.5% Declining",Z56*Z76,Z56/((1+Z$77)^Z$3))</f>
        <v>0</v>
      </c>
      <c r="AA88" s="384">
        <f>IF('Data Entry'!$H$5="3.5% Declining",AA56*AA76,AA56/((1+AA$77)^AA$3))</f>
        <v>0</v>
      </c>
      <c r="AB88" s="384">
        <f>IF('Data Entry'!$H$5="3.5% Declining",AB56*AB76,AB56/((1+AB$77)^AB$3))</f>
        <v>0</v>
      </c>
      <c r="AC88" s="384">
        <f>IF('Data Entry'!$H$5="3.5% Declining",AC56*AC76,AC56/((1+AC$77)^AC$3))</f>
        <v>0</v>
      </c>
      <c r="AD88" s="384">
        <f>IF('Data Entry'!$H$5="3.5% Declining",AD56*AD76,AD56/((1+AD$77)^AD$3))</f>
        <v>0</v>
      </c>
      <c r="AE88" s="384">
        <f>IF('Data Entry'!$H$5="3.5% Declining",AE56*AE76,AE56/((1+AE$77)^AE$3))</f>
        <v>0</v>
      </c>
      <c r="AF88" s="384">
        <f>IF('Data Entry'!$H$5="3.5% Declining",AF56*AF76,AF56/((1+AF$77)^AF$3))</f>
        <v>0</v>
      </c>
      <c r="AG88" s="384">
        <f>IF('Data Entry'!$H$5="3.5% Declining",AG56*AG76,AG56/((1+AG$77)^AG$3))</f>
        <v>0</v>
      </c>
      <c r="AH88" s="384">
        <f>IF('Data Entry'!$H$5="3.5% Declining",AH56*AH76,AH56/((1+AH$77)^AH$3))</f>
        <v>0</v>
      </c>
      <c r="AI88" s="384">
        <f>IF('Data Entry'!$H$5="3.5% Declining",AI56*AI76,AI56/((1+AI$77)^AI$3))</f>
        <v>0</v>
      </c>
      <c r="AJ88" s="384">
        <f>IF('Data Entry'!$H$5="3.5% Declining",AJ56*AJ76,AJ56/((1+AJ$77)^AJ$3))</f>
        <v>0</v>
      </c>
      <c r="AK88" s="384">
        <f>IF('Data Entry'!$H$5="3.5% Declining",AK56*AK76,AK56/((1+AK$77)^AK$3))</f>
        <v>0</v>
      </c>
      <c r="AL88" s="384">
        <f>IF('Data Entry'!$H$5="3.5% Declining",AL56*AL76,AL56/((1+AL$77)^AL$3))</f>
        <v>0</v>
      </c>
      <c r="AM88" s="384">
        <f>IF('Data Entry'!$H$5="3.5% Declining",AM56*AM76,AM56/((1+AM$77)^AM$3))</f>
        <v>0</v>
      </c>
      <c r="AN88" s="384">
        <f>IF('Data Entry'!$H$5="3.5% Declining",AN56*AN76,AN56/((1+AN$77)^AN$3))</f>
        <v>0</v>
      </c>
      <c r="AO88" s="559">
        <f>IF('Data Entry'!$H$5="3.5% Declining",AO56*AO76,AO56/((1+AO$77)^AO$3))</f>
        <v>0</v>
      </c>
      <c r="AP88" s="384">
        <f>IF('Data Entry'!$H$5="3.5% Declining",AP56*AP76,AP56/((1+AP$77)^AP$3))</f>
        <v>0</v>
      </c>
      <c r="AQ88" s="384">
        <f>IF('Data Entry'!$H$5="3.5% Declining",AQ56*AQ76,AQ56/((1+AQ$77)^AQ$3))</f>
        <v>0</v>
      </c>
      <c r="AR88" s="384">
        <f>IF('Data Entry'!$H$5="3.5% Declining",AR56*AR76,AR56/((1+AR$77)^AR$3))</f>
        <v>0</v>
      </c>
      <c r="AS88" s="384">
        <f>IF('Data Entry'!$H$5="3.5% Declining",AS56*AS76,AS56/((1+AS$77)^AS$3))</f>
        <v>0</v>
      </c>
      <c r="AT88" s="384">
        <f>IF('Data Entry'!$H$5="3.5% Declining",AT56*AT76,AT56/((1+AT$77)^AT$3))</f>
        <v>0</v>
      </c>
      <c r="AU88" s="384">
        <f>IF('Data Entry'!$H$5="3.5% Declining",AU56*AU76,AU56/((1+AU$77)^AU$3))</f>
        <v>0</v>
      </c>
      <c r="AV88" s="384">
        <f>IF('Data Entry'!$H$5="3.5% Declining",AV56*AV76,AV56/((1+AV$77)^AV$3))</f>
        <v>0</v>
      </c>
      <c r="AW88" s="384">
        <f>IF('Data Entry'!$H$5="3.5% Declining",AW56*AW76,AW56/((1+AW$77)^AW$3))</f>
        <v>0</v>
      </c>
      <c r="AX88" s="384">
        <f>IF('Data Entry'!$H$5="3.5% Declining",AX56*AX76,AX56/((1+AX$77)^AX$3))</f>
        <v>0</v>
      </c>
      <c r="AY88" s="384">
        <f>IF('Data Entry'!$H$5="3.5% Declining",AY56*AY76,AY56/((1+AY$77)^AY$3))</f>
        <v>0</v>
      </c>
      <c r="AZ88" s="384">
        <f>IF('Data Entry'!$H$5="3.5% Declining",AZ56*AZ76,AZ56/((1+AZ$77)^AZ$3))</f>
        <v>0</v>
      </c>
      <c r="BA88" s="384">
        <f>IF('Data Entry'!$H$5="3.5% Declining",BA56*BA76,BA56/((1+BA$77)^BA$3))</f>
        <v>0</v>
      </c>
      <c r="BB88" s="384">
        <f>IF('Data Entry'!$H$5="3.5% Declining",BB56*BB76,BB56/((1+BB$77)^BB$3))</f>
        <v>0</v>
      </c>
      <c r="BC88" s="384">
        <f>IF('Data Entry'!$H$5="3.5% Declining",BC56*BC76,BC56/((1+BC$77)^BC$3))</f>
        <v>0</v>
      </c>
      <c r="BD88" s="384">
        <f>IF('Data Entry'!$H$5="3.5% Declining",BD56*BD76,BD56/((1+BD$77)^BD$3))</f>
        <v>0</v>
      </c>
      <c r="BE88" s="384">
        <f>IF('Data Entry'!$H$5="3.5% Declining",BE56*BE76,BE56/((1+BE$77)^BE$3))</f>
        <v>0</v>
      </c>
      <c r="BF88" s="384">
        <f>IF('Data Entry'!$H$5="3.5% Declining",BF56*BF76,BF56/((1+BF$77)^BF$3))</f>
        <v>0</v>
      </c>
      <c r="BG88" s="384">
        <f>IF('Data Entry'!$H$5="3.5% Declining",BG56*BG76,BG56/((1+BG$77)^BG$3))</f>
        <v>0</v>
      </c>
      <c r="BH88" s="384">
        <f>IF('Data Entry'!$H$5="3.5% Declining",BH56*BH76,BH56/((1+BH$77)^BH$3))</f>
        <v>0</v>
      </c>
      <c r="BI88" s="384">
        <f>IF('Data Entry'!$H$5="3.5% Declining",BI56*BI76,BI56/((1+BI$77)^BI$3))</f>
        <v>0</v>
      </c>
      <c r="BJ88" s="384">
        <f>IF('Data Entry'!$H$5="3.5% Declining",BJ56*BJ76,BJ56/((1+BJ$77)^BJ$3))</f>
        <v>0</v>
      </c>
      <c r="BK88" s="559">
        <f>IF('Data Entry'!$H$5="3.5% Declining",BK56*BK76,BK56/((1+BK$77)^BK$3))</f>
        <v>0</v>
      </c>
      <c r="BL88" s="384">
        <f>IF('Data Entry'!$H$5="3.5% Declining",BL56*BL76,BL56/((1+BL$77)^BL$3))</f>
        <v>0</v>
      </c>
      <c r="BM88" s="384">
        <f>IF('Data Entry'!$H$5="3.5% Declining",BM56*BM76,BM56/((1+BM$77)^BM$3))</f>
        <v>0</v>
      </c>
      <c r="BN88" s="384">
        <f>IF('Data Entry'!$H$5="3.5% Declining",BN56*BN76,BN56/((1+BN$77)^BN$3))</f>
        <v>0</v>
      </c>
      <c r="BO88" s="384">
        <f>IF('Data Entry'!$H$5="3.5% Declining",BO56*BO76,BO56/((1+BO$77)^BO$3))</f>
        <v>0</v>
      </c>
      <c r="BP88" s="384">
        <f>IF('Data Entry'!$H$5="3.5% Declining",BP56*BP76,BP56/((1+BP$77)^BP$3))</f>
        <v>0</v>
      </c>
      <c r="BQ88" s="384">
        <f>IF('Data Entry'!$H$5="3.5% Declining",BQ56*BQ76,BQ56/((1+BQ$77)^BQ$3))</f>
        <v>0</v>
      </c>
      <c r="BR88" s="384">
        <f>IF('Data Entry'!$H$5="3.5% Declining",BR56*BR76,BR56/((1+BR$77)^BR$3))</f>
        <v>0</v>
      </c>
      <c r="BS88" s="384">
        <f>IF('Data Entry'!$H$5="3.5% Declining",BS56*BS76,BS56/((1+BS$77)^BS$3))</f>
        <v>0</v>
      </c>
      <c r="BT88" s="384">
        <f>IF('Data Entry'!$H$5="3.5% Declining",BT56*BT76,BT56/((1+BT$77)^BT$3))</f>
        <v>0</v>
      </c>
      <c r="BU88" s="384">
        <f>IF('Data Entry'!$H$5="3.5% Declining",BU56*BU76,BU56/((1+BU$77)^BU$3))</f>
        <v>0</v>
      </c>
      <c r="BV88" s="384">
        <f>IF('Data Entry'!$H$5="3.5% Declining",BV56*BV76,BV56/((1+BV$77)^BV$3))</f>
        <v>0</v>
      </c>
      <c r="BW88" s="384">
        <f>IF('Data Entry'!$H$5="3.5% Declining",BW56*BW76,BW56/((1+BW$77)^BW$3))</f>
        <v>0</v>
      </c>
      <c r="BX88" s="384">
        <f>IF('Data Entry'!$H$5="3.5% Declining",BX56*BX76,BX56/((1+BX$77)^BX$3))</f>
        <v>0</v>
      </c>
      <c r="BY88" s="384">
        <f>IF('Data Entry'!$H$5="3.5% Declining",BY56*BY76,BY56/((1+BY$77)^BY$3))</f>
        <v>0</v>
      </c>
      <c r="BZ88" s="384">
        <f>IF('Data Entry'!$H$5="3.5% Declining",BZ56*BZ76,BZ56/((1+BZ$77)^BZ$3))</f>
        <v>0</v>
      </c>
      <c r="CA88" s="559">
        <f>IF('Data Entry'!$H$5="3.5% Declining",CA56*CA76,CA56/((1+CA$77)^CA$3))</f>
        <v>0</v>
      </c>
      <c r="CB88" s="384">
        <f>IF('Data Entry'!$H$5="3.5% Declining",CB56*CB76,CB56/((1+CB$77)^CB$3))</f>
        <v>0</v>
      </c>
      <c r="CC88" s="384">
        <f>IF('Data Entry'!$H$5="3.5% Declining",CC56*CC76,CC56/((1+CC$77)^CC$3))</f>
        <v>0</v>
      </c>
      <c r="CD88" s="384">
        <f>IF('Data Entry'!$H$5="3.5% Declining",CD56*CD76,CD56/((1+CD$77)^CD$3))</f>
        <v>0</v>
      </c>
      <c r="CE88" s="384">
        <f>IF('Data Entry'!$H$5="3.5% Declining",CE56*CE76,CE56/((1+CE$77)^CE$3))</f>
        <v>0</v>
      </c>
      <c r="CF88" s="384">
        <f>IF('Data Entry'!$H$5="3.5% Declining",CF56*CF76,CF56/((1+CF$77)^CF$3))</f>
        <v>0</v>
      </c>
      <c r="CG88" s="384">
        <f>IF('Data Entry'!$H$5="3.5% Declining",CG56*CG76,CG56/((1+CG$77)^CG$3))</f>
        <v>0</v>
      </c>
      <c r="CH88" s="384">
        <f>IF('Data Entry'!$H$5="3.5% Declining",CH56*CH76,CH56/((1+CH$77)^CH$3))</f>
        <v>0</v>
      </c>
      <c r="CI88" s="384">
        <f>IF('Data Entry'!$H$5="3.5% Declining",CI56*CI76,CI56/((1+CI$77)^CI$3))</f>
        <v>0</v>
      </c>
      <c r="CJ88" s="384">
        <f>IF('Data Entry'!$H$5="3.5% Declining",CJ56*CJ76,CJ56/((1+CJ$77)^CJ$3))</f>
        <v>0</v>
      </c>
      <c r="CK88" s="384">
        <f>IF('Data Entry'!$H$5="3.5% Declining",CK56*CK76,CK56/((1+CK$77)^CK$3))</f>
        <v>0</v>
      </c>
      <c r="CL88" s="384">
        <f>IF('Data Entry'!$H$5="3.5% Declining",CL56*CL76,CL56/((1+CL$77)^CL$3))</f>
        <v>0</v>
      </c>
      <c r="CM88" s="384">
        <f>IF('Data Entry'!$H$5="3.5% Declining",CM56*CM76,CM56/((1+CM$77)^CM$3))</f>
        <v>0</v>
      </c>
      <c r="CN88" s="384">
        <f>IF('Data Entry'!$H$5="3.5% Declining",CN56*CN76,CN56/((1+CN$77)^CN$3))</f>
        <v>0</v>
      </c>
      <c r="CO88" s="384">
        <f>IF('Data Entry'!$H$5="3.5% Declining",CO56*CO76,CO56/((1+CO$77)^CO$3))</f>
        <v>0</v>
      </c>
      <c r="CP88" s="384">
        <f>IF('Data Entry'!$H$5="3.5% Declining",CP56*CP76,CP56/((1+CP$77)^CP$3))</f>
        <v>0</v>
      </c>
      <c r="CQ88" s="384">
        <f>IF('Data Entry'!$H$5="3.5% Declining",CQ56*CQ76,CQ56/((1+CQ$77)^CQ$3))</f>
        <v>0</v>
      </c>
      <c r="CR88" s="384">
        <f>IF('Data Entry'!$H$5="3.5% Declining",CR56*CR76,CR56/((1+CR$77)^CR$3))</f>
        <v>0</v>
      </c>
      <c r="CS88" s="384">
        <f>IF('Data Entry'!$H$5="3.5% Declining",CS56*CS76,CS56/((1+CS$77)^CS$3))</f>
        <v>0</v>
      </c>
      <c r="CT88" s="384">
        <f>IF('Data Entry'!$H$5="3.5% Declining",CT56*CT76,CT56/((1+CT$77)^CT$3))</f>
        <v>0</v>
      </c>
      <c r="CU88" s="384">
        <f>IF('Data Entry'!$H$5="3.5% Declining",CU56*CU76,CU56/((1+CU$77)^CU$3))</f>
        <v>0</v>
      </c>
      <c r="CV88" s="384">
        <f>IF('Data Entry'!$H$5="3.5% Declining",CV56*CV76,CV56/((1+CV$77)^CV$3))</f>
        <v>0</v>
      </c>
      <c r="CW88" s="384">
        <f>IF('Data Entry'!$H$5="3.5% Declining",CW56*CW76,CW56/((1+CW$77)^CW$3))</f>
        <v>0</v>
      </c>
      <c r="CX88" s="384">
        <f>IF('Data Entry'!$H$5="3.5% Declining",CX56*CX76,CX56/((1+CX$77)^CX$3))</f>
        <v>0</v>
      </c>
      <c r="CY88" s="566">
        <f>IF('Data Entry'!$H$5="3.5% Declining",CY56*CY76,CY56/((1+CY$77)^CY$3))</f>
        <v>0</v>
      </c>
    </row>
    <row r="89" spans="1:103" x14ac:dyDescent="0.3">
      <c r="A89" s="758" t="str">
        <f t="shared" si="44"/>
        <v>Discounted Other regular payments/sponsorships/donations (specify)</v>
      </c>
      <c r="B89" s="761"/>
      <c r="C89" s="760">
        <f t="shared" ref="C89" si="46">SUM(D89:CY89)</f>
        <v>0</v>
      </c>
      <c r="D89" s="384">
        <f>IF('Data Entry'!$H$5="3.5% Declining",D57*D76,D57/((1+D$77)^D$3))</f>
        <v>0</v>
      </c>
      <c r="E89" s="384">
        <f>IF('Data Entry'!$H$5="3.5% Declining",E57*E76,E57/((1+E$77)^E$3))</f>
        <v>0</v>
      </c>
      <c r="F89" s="384">
        <f>IF('Data Entry'!$H$5="3.5% Declining",F57*F76,F57/((1+F$77)^F$3))</f>
        <v>0</v>
      </c>
      <c r="G89" s="384">
        <f>IF('Data Entry'!$H$5="3.5% Declining",G57*G76,G57/((1+G$77)^G$3))</f>
        <v>0</v>
      </c>
      <c r="H89" s="384">
        <f>IF('Data Entry'!$H$5="3.5% Declining",H57*H76,H57/((1+H$77)^H$3))</f>
        <v>0</v>
      </c>
      <c r="I89" s="384">
        <f>IF('Data Entry'!$H$5="3.5% Declining",I57*I76,I57/((1+I$77)^I$3))</f>
        <v>0</v>
      </c>
      <c r="J89" s="384">
        <f>IF('Data Entry'!$H$5="3.5% Declining",J57*J76,J57/((1+J$77)^J$3))</f>
        <v>0</v>
      </c>
      <c r="K89" s="384">
        <f>IF('Data Entry'!$H$5="3.5% Declining",K57*K76,K57/((1+K$77)^K$3))</f>
        <v>0</v>
      </c>
      <c r="L89" s="384">
        <f>IF('Data Entry'!$H$5="3.5% Declining",L57*L76,L57/((1+L$77)^L$3))</f>
        <v>0</v>
      </c>
      <c r="M89" s="384">
        <f>IF('Data Entry'!$H$5="3.5% Declining",M57*M76,M57/((1+M$77)^M$3))</f>
        <v>0</v>
      </c>
      <c r="N89" s="384">
        <f>IF('Data Entry'!$H$5="3.5% Declining",N57*N76,N57/((1+N$77)^N$3))</f>
        <v>0</v>
      </c>
      <c r="O89" s="384">
        <f>IF('Data Entry'!$H$5="3.5% Declining",O57*O76,O57/((1+O$77)^O$3))</f>
        <v>0</v>
      </c>
      <c r="P89" s="384">
        <f>IF('Data Entry'!$H$5="3.5% Declining",P57*P76,P57/((1+P$77)^P$3))</f>
        <v>0</v>
      </c>
      <c r="Q89" s="384">
        <f>IF('Data Entry'!$H$5="3.5% Declining",Q57*Q76,Q57/((1+Q$77)^Q$3))</f>
        <v>0</v>
      </c>
      <c r="R89" s="384">
        <f>IF('Data Entry'!$H$5="3.5% Declining",R57*R76,R57/((1+R$77)^R$3))</f>
        <v>0</v>
      </c>
      <c r="S89" s="384">
        <f>IF('Data Entry'!$H$5="3.5% Declining",S57*S76,S57/((1+S$77)^S$3))</f>
        <v>0</v>
      </c>
      <c r="T89" s="384">
        <f>IF('Data Entry'!$H$5="3.5% Declining",T57*T76,T57/((1+T$77)^T$3))</f>
        <v>0</v>
      </c>
      <c r="U89" s="384">
        <f>IF('Data Entry'!$H$5="3.5% Declining",U57*U76,U57/((1+U$77)^U$3))</f>
        <v>0</v>
      </c>
      <c r="V89" s="384">
        <f>IF('Data Entry'!$H$5="3.5% Declining",V57*V76,V57/((1+V$77)^V$3))</f>
        <v>0</v>
      </c>
      <c r="W89" s="384">
        <f>IF('Data Entry'!$H$5="3.5% Declining",W57*W76,W57/((1+W$77)^W$3))</f>
        <v>0</v>
      </c>
      <c r="X89" s="384">
        <f>IF('Data Entry'!$H$5="3.5% Declining",X57*X76,X57/((1+X$77)^X$3))</f>
        <v>0</v>
      </c>
      <c r="Y89" s="384">
        <f>IF('Data Entry'!$H$5="3.5% Declining",Y57*Y76,Y57/((1+Y$77)^Y$3))</f>
        <v>0</v>
      </c>
      <c r="Z89" s="384">
        <f>IF('Data Entry'!$H$5="3.5% Declining",Z57*Z76,Z57/((1+Z$77)^Z$3))</f>
        <v>0</v>
      </c>
      <c r="AA89" s="384">
        <f>IF('Data Entry'!$H$5="3.5% Declining",AA57*AA76,AA57/((1+AA$77)^AA$3))</f>
        <v>0</v>
      </c>
      <c r="AB89" s="384">
        <f>IF('Data Entry'!$H$5="3.5% Declining",AB57*AB76,AB57/((1+AB$77)^AB$3))</f>
        <v>0</v>
      </c>
      <c r="AC89" s="384">
        <f>IF('Data Entry'!$H$5="3.5% Declining",AC57*AC76,AC57/((1+AC$77)^AC$3))</f>
        <v>0</v>
      </c>
      <c r="AD89" s="384">
        <f>IF('Data Entry'!$H$5="3.5% Declining",AD57*AD76,AD57/((1+AD$77)^AD$3))</f>
        <v>0</v>
      </c>
      <c r="AE89" s="384">
        <f>IF('Data Entry'!$H$5="3.5% Declining",AE57*AE76,AE57/((1+AE$77)^AE$3))</f>
        <v>0</v>
      </c>
      <c r="AF89" s="384">
        <f>IF('Data Entry'!$H$5="3.5% Declining",AF57*AF76,AF57/((1+AF$77)^AF$3))</f>
        <v>0</v>
      </c>
      <c r="AG89" s="384">
        <f>IF('Data Entry'!$H$5="3.5% Declining",AG57*AG76,AG57/((1+AG$77)^AG$3))</f>
        <v>0</v>
      </c>
      <c r="AH89" s="384">
        <f>IF('Data Entry'!$H$5="3.5% Declining",AH57*AH76,AH57/((1+AH$77)^AH$3))</f>
        <v>0</v>
      </c>
      <c r="AI89" s="384">
        <f>IF('Data Entry'!$H$5="3.5% Declining",AI57*AI76,AI57/((1+AI$77)^AI$3))</f>
        <v>0</v>
      </c>
      <c r="AJ89" s="384">
        <f>IF('Data Entry'!$H$5="3.5% Declining",AJ57*AJ76,AJ57/((1+AJ$77)^AJ$3))</f>
        <v>0</v>
      </c>
      <c r="AK89" s="384">
        <f>IF('Data Entry'!$H$5="3.5% Declining",AK57*AK76,AK57/((1+AK$77)^AK$3))</f>
        <v>0</v>
      </c>
      <c r="AL89" s="384">
        <f>IF('Data Entry'!$H$5="3.5% Declining",AL57*AL76,AL57/((1+AL$77)^AL$3))</f>
        <v>0</v>
      </c>
      <c r="AM89" s="384">
        <f>IF('Data Entry'!$H$5="3.5% Declining",AM57*AM76,AM57/((1+AM$77)^AM$3))</f>
        <v>0</v>
      </c>
      <c r="AN89" s="384">
        <f>IF('Data Entry'!$H$5="3.5% Declining",AN57*AN76,AN57/((1+AN$77)^AN$3))</f>
        <v>0</v>
      </c>
      <c r="AO89" s="559">
        <f>IF('Data Entry'!$H$5="3.5% Declining",AO57*AO76,AO57/((1+AO$77)^AO$3))</f>
        <v>0</v>
      </c>
      <c r="AP89" s="384">
        <f>IF('Data Entry'!$H$5="3.5% Declining",AP57*AP76,AP57/((1+AP$77)^AP$3))</f>
        <v>0</v>
      </c>
      <c r="AQ89" s="384">
        <f>IF('Data Entry'!$H$5="3.5% Declining",AQ57*AQ76,AQ57/((1+AQ$77)^AQ$3))</f>
        <v>0</v>
      </c>
      <c r="AR89" s="384">
        <f>IF('Data Entry'!$H$5="3.5% Declining",AR57*AR76,AR57/((1+AR$77)^AR$3))</f>
        <v>0</v>
      </c>
      <c r="AS89" s="384">
        <f>IF('Data Entry'!$H$5="3.5% Declining",AS57*AS76,AS57/((1+AS$77)^AS$3))</f>
        <v>0</v>
      </c>
      <c r="AT89" s="384">
        <f>IF('Data Entry'!$H$5="3.5% Declining",AT57*AT76,AT57/((1+AT$77)^AT$3))</f>
        <v>0</v>
      </c>
      <c r="AU89" s="384">
        <f>IF('Data Entry'!$H$5="3.5% Declining",AU57*AU76,AU57/((1+AU$77)^AU$3))</f>
        <v>0</v>
      </c>
      <c r="AV89" s="384">
        <f>IF('Data Entry'!$H$5="3.5% Declining",AV57*AV76,AV57/((1+AV$77)^AV$3))</f>
        <v>0</v>
      </c>
      <c r="AW89" s="384">
        <f>IF('Data Entry'!$H$5="3.5% Declining",AW57*AW76,AW57/((1+AW$77)^AW$3))</f>
        <v>0</v>
      </c>
      <c r="AX89" s="384">
        <f>IF('Data Entry'!$H$5="3.5% Declining",AX57*AX76,AX57/((1+AX$77)^AX$3))</f>
        <v>0</v>
      </c>
      <c r="AY89" s="384">
        <f>IF('Data Entry'!$H$5="3.5% Declining",AY57*AY76,AY57/((1+AY$77)^AY$3))</f>
        <v>0</v>
      </c>
      <c r="AZ89" s="384">
        <f>IF('Data Entry'!$H$5="3.5% Declining",AZ57*AZ76,AZ57/((1+AZ$77)^AZ$3))</f>
        <v>0</v>
      </c>
      <c r="BA89" s="384">
        <f>IF('Data Entry'!$H$5="3.5% Declining",BA57*BA76,BA57/((1+BA$77)^BA$3))</f>
        <v>0</v>
      </c>
      <c r="BB89" s="384">
        <f>IF('Data Entry'!$H$5="3.5% Declining",BB57*BB76,BB57/((1+BB$77)^BB$3))</f>
        <v>0</v>
      </c>
      <c r="BC89" s="384">
        <f>IF('Data Entry'!$H$5="3.5% Declining",BC57*BC76,BC57/((1+BC$77)^BC$3))</f>
        <v>0</v>
      </c>
      <c r="BD89" s="384">
        <f>IF('Data Entry'!$H$5="3.5% Declining",BD57*BD76,BD57/((1+BD$77)^BD$3))</f>
        <v>0</v>
      </c>
      <c r="BE89" s="384">
        <f>IF('Data Entry'!$H$5="3.5% Declining",BE57*BE76,BE57/((1+BE$77)^BE$3))</f>
        <v>0</v>
      </c>
      <c r="BF89" s="384">
        <f>IF('Data Entry'!$H$5="3.5% Declining",BF57*BF76,BF57/((1+BF$77)^BF$3))</f>
        <v>0</v>
      </c>
      <c r="BG89" s="384">
        <f>IF('Data Entry'!$H$5="3.5% Declining",BG57*BG76,BG57/((1+BG$77)^BG$3))</f>
        <v>0</v>
      </c>
      <c r="BH89" s="384">
        <f>IF('Data Entry'!$H$5="3.5% Declining",BH57*BH76,BH57/((1+BH$77)^BH$3))</f>
        <v>0</v>
      </c>
      <c r="BI89" s="384">
        <f>IF('Data Entry'!$H$5="3.5% Declining",BI57*BI76,BI57/((1+BI$77)^BI$3))</f>
        <v>0</v>
      </c>
      <c r="BJ89" s="384">
        <f>IF('Data Entry'!$H$5="3.5% Declining",BJ57*BJ76,BJ57/((1+BJ$77)^BJ$3))</f>
        <v>0</v>
      </c>
      <c r="BK89" s="559">
        <f>IF('Data Entry'!$H$5="3.5% Declining",BK57*BK76,BK57/((1+BK$77)^BK$3))</f>
        <v>0</v>
      </c>
      <c r="BL89" s="384">
        <f>IF('Data Entry'!$H$5="3.5% Declining",BL57*BL76,BL57/((1+BL$77)^BL$3))</f>
        <v>0</v>
      </c>
      <c r="BM89" s="384">
        <f>IF('Data Entry'!$H$5="3.5% Declining",BM57*BM76,BM57/((1+BM$77)^BM$3))</f>
        <v>0</v>
      </c>
      <c r="BN89" s="384">
        <f>IF('Data Entry'!$H$5="3.5% Declining",BN57*BN76,BN57/((1+BN$77)^BN$3))</f>
        <v>0</v>
      </c>
      <c r="BO89" s="384">
        <f>IF('Data Entry'!$H$5="3.5% Declining",BO57*BO76,BO57/((1+BO$77)^BO$3))</f>
        <v>0</v>
      </c>
      <c r="BP89" s="384">
        <f>IF('Data Entry'!$H$5="3.5% Declining",BP57*BP76,BP57/((1+BP$77)^BP$3))</f>
        <v>0</v>
      </c>
      <c r="BQ89" s="384">
        <f>IF('Data Entry'!$H$5="3.5% Declining",BQ57*BQ76,BQ57/((1+BQ$77)^BQ$3))</f>
        <v>0</v>
      </c>
      <c r="BR89" s="384">
        <f>IF('Data Entry'!$H$5="3.5% Declining",BR57*BR76,BR57/((1+BR$77)^BR$3))</f>
        <v>0</v>
      </c>
      <c r="BS89" s="384">
        <f>IF('Data Entry'!$H$5="3.5% Declining",BS57*BS76,BS57/((1+BS$77)^BS$3))</f>
        <v>0</v>
      </c>
      <c r="BT89" s="384">
        <f>IF('Data Entry'!$H$5="3.5% Declining",BT57*BT76,BT57/((1+BT$77)^BT$3))</f>
        <v>0</v>
      </c>
      <c r="BU89" s="384">
        <f>IF('Data Entry'!$H$5="3.5% Declining",BU57*BU76,BU57/((1+BU$77)^BU$3))</f>
        <v>0</v>
      </c>
      <c r="BV89" s="384">
        <f>IF('Data Entry'!$H$5="3.5% Declining",BV57*BV76,BV57/((1+BV$77)^BV$3))</f>
        <v>0</v>
      </c>
      <c r="BW89" s="384">
        <f>IF('Data Entry'!$H$5="3.5% Declining",BW57*BW76,BW57/((1+BW$77)^BW$3))</f>
        <v>0</v>
      </c>
      <c r="BX89" s="384">
        <f>IF('Data Entry'!$H$5="3.5% Declining",BX57*BX76,BX57/((1+BX$77)^BX$3))</f>
        <v>0</v>
      </c>
      <c r="BY89" s="384">
        <f>IF('Data Entry'!$H$5="3.5% Declining",BY57*BY76,BY57/((1+BY$77)^BY$3))</f>
        <v>0</v>
      </c>
      <c r="BZ89" s="384">
        <f>IF('Data Entry'!$H$5="3.5% Declining",BZ57*BZ76,BZ57/((1+BZ$77)^BZ$3))</f>
        <v>0</v>
      </c>
      <c r="CA89" s="559">
        <f>IF('Data Entry'!$H$5="3.5% Declining",CA57*CA76,CA57/((1+CA$77)^CA$3))</f>
        <v>0</v>
      </c>
      <c r="CB89" s="384">
        <f>IF('Data Entry'!$H$5="3.5% Declining",CB57*CB76,CB57/((1+CB$77)^CB$3))</f>
        <v>0</v>
      </c>
      <c r="CC89" s="384">
        <f>IF('Data Entry'!$H$5="3.5% Declining",CC57*CC76,CC57/((1+CC$77)^CC$3))</f>
        <v>0</v>
      </c>
      <c r="CD89" s="384">
        <f>IF('Data Entry'!$H$5="3.5% Declining",CD57*CD76,CD57/((1+CD$77)^CD$3))</f>
        <v>0</v>
      </c>
      <c r="CE89" s="384">
        <f>IF('Data Entry'!$H$5="3.5% Declining",CE57*CE76,CE57/((1+CE$77)^CE$3))</f>
        <v>0</v>
      </c>
      <c r="CF89" s="384">
        <f>IF('Data Entry'!$H$5="3.5% Declining",CF57*CF76,CF57/((1+CF$77)^CF$3))</f>
        <v>0</v>
      </c>
      <c r="CG89" s="384">
        <f>IF('Data Entry'!$H$5="3.5% Declining",CG57*CG76,CG57/((1+CG$77)^CG$3))</f>
        <v>0</v>
      </c>
      <c r="CH89" s="384">
        <f>IF('Data Entry'!$H$5="3.5% Declining",CH57*CH76,CH57/((1+CH$77)^CH$3))</f>
        <v>0</v>
      </c>
      <c r="CI89" s="384">
        <f>IF('Data Entry'!$H$5="3.5% Declining",CI57*CI76,CI57/((1+CI$77)^CI$3))</f>
        <v>0</v>
      </c>
      <c r="CJ89" s="384">
        <f>IF('Data Entry'!$H$5="3.5% Declining",CJ57*CJ76,CJ57/((1+CJ$77)^CJ$3))</f>
        <v>0</v>
      </c>
      <c r="CK89" s="384">
        <f>IF('Data Entry'!$H$5="3.5% Declining",CK57*CK76,CK57/((1+CK$77)^CK$3))</f>
        <v>0</v>
      </c>
      <c r="CL89" s="384">
        <f>IF('Data Entry'!$H$5="3.5% Declining",CL57*CL76,CL57/((1+CL$77)^CL$3))</f>
        <v>0</v>
      </c>
      <c r="CM89" s="384">
        <f>IF('Data Entry'!$H$5="3.5% Declining",CM57*CM76,CM57/((1+CM$77)^CM$3))</f>
        <v>0</v>
      </c>
      <c r="CN89" s="384">
        <f>IF('Data Entry'!$H$5="3.5% Declining",CN57*CN76,CN57/((1+CN$77)^CN$3))</f>
        <v>0</v>
      </c>
      <c r="CO89" s="384">
        <f>IF('Data Entry'!$H$5="3.5% Declining",CO57*CO76,CO57/((1+CO$77)^CO$3))</f>
        <v>0</v>
      </c>
      <c r="CP89" s="384">
        <f>IF('Data Entry'!$H$5="3.5% Declining",CP57*CP76,CP57/((1+CP$77)^CP$3))</f>
        <v>0</v>
      </c>
      <c r="CQ89" s="384">
        <f>IF('Data Entry'!$H$5="3.5% Declining",CQ57*CQ76,CQ57/((1+CQ$77)^CQ$3))</f>
        <v>0</v>
      </c>
      <c r="CR89" s="384">
        <f>IF('Data Entry'!$H$5="3.5% Declining",CR57*CR76,CR57/((1+CR$77)^CR$3))</f>
        <v>0</v>
      </c>
      <c r="CS89" s="384">
        <f>IF('Data Entry'!$H$5="3.5% Declining",CS57*CS76,CS57/((1+CS$77)^CS$3))</f>
        <v>0</v>
      </c>
      <c r="CT89" s="384">
        <f>IF('Data Entry'!$H$5="3.5% Declining",CT57*CT76,CT57/((1+CT$77)^CT$3))</f>
        <v>0</v>
      </c>
      <c r="CU89" s="384">
        <f>IF('Data Entry'!$H$5="3.5% Declining",CU57*CU76,CU57/((1+CU$77)^CU$3))</f>
        <v>0</v>
      </c>
      <c r="CV89" s="384">
        <f>IF('Data Entry'!$H$5="3.5% Declining",CV57*CV76,CV57/((1+CV$77)^CV$3))</f>
        <v>0</v>
      </c>
      <c r="CW89" s="384">
        <f>IF('Data Entry'!$H$5="3.5% Declining",CW57*CW76,CW57/((1+CW$77)^CW$3))</f>
        <v>0</v>
      </c>
      <c r="CX89" s="384">
        <f>IF('Data Entry'!$H$5="3.5% Declining",CX57*CX76,CX57/((1+CX$77)^CX$3))</f>
        <v>0</v>
      </c>
      <c r="CY89" s="566">
        <f>IF('Data Entry'!$H$5="3.5% Declining",CY57*CY76,CY57/((1+CY$77)^CY$3))</f>
        <v>0</v>
      </c>
    </row>
    <row r="90" spans="1:103" ht="15" customHeight="1" x14ac:dyDescent="0.3">
      <c r="A90" s="758" t="str">
        <f t="shared" si="44"/>
        <v>Discounted One-off payments/sponsorships/donations (specify)</v>
      </c>
      <c r="B90" s="759"/>
      <c r="C90" s="760">
        <f t="shared" si="43"/>
        <v>0</v>
      </c>
      <c r="D90" s="384">
        <f>IF('Data Entry'!$H$5="3.5% Declining",D58*D76,D58/((1+D$77)^D$3))</f>
        <v>0</v>
      </c>
      <c r="E90" s="384">
        <f>IF('Data Entry'!$H$5="3.5% Declining",E58*E76,E58/((1+E$77)^E$3))</f>
        <v>0</v>
      </c>
      <c r="F90" s="384">
        <f>IF('Data Entry'!$H$5="3.5% Declining",F58*F76,F58/((1+F$77)^F$3))</f>
        <v>0</v>
      </c>
      <c r="G90" s="384">
        <f>IF('Data Entry'!$H$5="3.5% Declining",G58*G76,G58/((1+G$77)^G$3))</f>
        <v>0</v>
      </c>
      <c r="H90" s="384">
        <f>IF('Data Entry'!$H$5="3.5% Declining",H58*H76,H58/((1+H$77)^H$3))</f>
        <v>0</v>
      </c>
      <c r="I90" s="384">
        <f>IF('Data Entry'!$H$5="3.5% Declining",I58*I76,I58/((1+I$77)^I$3))</f>
        <v>0</v>
      </c>
      <c r="J90" s="384">
        <f>IF('Data Entry'!$H$5="3.5% Declining",J58*J76,J58/((1+J$77)^J$3))</f>
        <v>0</v>
      </c>
      <c r="K90" s="384">
        <f>IF('Data Entry'!$H$5="3.5% Declining",K58*K76,K58/((1+K$77)^K$3))</f>
        <v>0</v>
      </c>
      <c r="L90" s="384">
        <f>IF('Data Entry'!$H$5="3.5% Declining",L58*L76,L58/((1+L$77)^L$3))</f>
        <v>0</v>
      </c>
      <c r="M90" s="384">
        <f>IF('Data Entry'!$H$5="3.5% Declining",M58*M76,M58/((1+M$77)^M$3))</f>
        <v>0</v>
      </c>
      <c r="N90" s="384">
        <f>IF('Data Entry'!$H$5="3.5% Declining",N58*N76,N58/((1+N$77)^N$3))</f>
        <v>0</v>
      </c>
      <c r="O90" s="384">
        <f>IF('Data Entry'!$H$5="3.5% Declining",O58*O76,O58/((1+O$77)^O$3))</f>
        <v>0</v>
      </c>
      <c r="P90" s="384">
        <f>IF('Data Entry'!$H$5="3.5% Declining",P58*P76,P58/((1+P$77)^P$3))</f>
        <v>0</v>
      </c>
      <c r="Q90" s="384">
        <f>IF('Data Entry'!$H$5="3.5% Declining",Q58*Q76,Q58/((1+Q$77)^Q$3))</f>
        <v>0</v>
      </c>
      <c r="R90" s="384">
        <f>IF('Data Entry'!$H$5="3.5% Declining",R58*R76,R58/((1+R$77)^R$3))</f>
        <v>0</v>
      </c>
      <c r="S90" s="384">
        <f>IF('Data Entry'!$H$5="3.5% Declining",S58*S76,S58/((1+S$77)^S$3))</f>
        <v>0</v>
      </c>
      <c r="T90" s="384">
        <f>IF('Data Entry'!$H$5="3.5% Declining",T58*T76,T58/((1+T$77)^T$3))</f>
        <v>0</v>
      </c>
      <c r="U90" s="384">
        <f>IF('Data Entry'!$H$5="3.5% Declining",U58*U76,U58/((1+U$77)^U$3))</f>
        <v>0</v>
      </c>
      <c r="V90" s="384">
        <f>IF('Data Entry'!$H$5="3.5% Declining",V58*V76,V58/((1+V$77)^V$3))</f>
        <v>0</v>
      </c>
      <c r="W90" s="384">
        <f>IF('Data Entry'!$H$5="3.5% Declining",W58*W76,W58/((1+W$77)^W$3))</f>
        <v>0</v>
      </c>
      <c r="X90" s="384">
        <f>IF('Data Entry'!$H$5="3.5% Declining",X58*X76,X58/((1+X$77)^X$3))</f>
        <v>0</v>
      </c>
      <c r="Y90" s="384">
        <f>IF('Data Entry'!$H$5="3.5% Declining",Y58*Y76,Y58/((1+Y$77)^Y$3))</f>
        <v>0</v>
      </c>
      <c r="Z90" s="384">
        <f>IF('Data Entry'!$H$5="3.5% Declining",Z58*Z76,Z58/((1+Z$77)^Z$3))</f>
        <v>0</v>
      </c>
      <c r="AA90" s="384">
        <f>IF('Data Entry'!$H$5="3.5% Declining",AA58*AA76,AA58/((1+AA$77)^AA$3))</f>
        <v>0</v>
      </c>
      <c r="AB90" s="384">
        <f>IF('Data Entry'!$H$5="3.5% Declining",AB58*AB76,AB58/((1+AB$77)^AB$3))</f>
        <v>0</v>
      </c>
      <c r="AC90" s="384">
        <f>IF('Data Entry'!$H$5="3.5% Declining",AC58*AC76,AC58/((1+AC$77)^AC$3))</f>
        <v>0</v>
      </c>
      <c r="AD90" s="384">
        <f>IF('Data Entry'!$H$5="3.5% Declining",AD58*AD76,AD58/((1+AD$77)^AD$3))</f>
        <v>0</v>
      </c>
      <c r="AE90" s="384">
        <f>IF('Data Entry'!$H$5="3.5% Declining",AE58*AE76,AE58/((1+AE$77)^AE$3))</f>
        <v>0</v>
      </c>
      <c r="AF90" s="384">
        <f>IF('Data Entry'!$H$5="3.5% Declining",AF58*AF76,AF58/((1+AF$77)^AF$3))</f>
        <v>0</v>
      </c>
      <c r="AG90" s="384">
        <f>IF('Data Entry'!$H$5="3.5% Declining",AG58*AG76,AG58/((1+AG$77)^AG$3))</f>
        <v>0</v>
      </c>
      <c r="AH90" s="384">
        <f>IF('Data Entry'!$H$5="3.5% Declining",AH58*AH76,AH58/((1+AH$77)^AH$3))</f>
        <v>0</v>
      </c>
      <c r="AI90" s="384">
        <f>IF('Data Entry'!$H$5="3.5% Declining",AI58*AI76,AI58/((1+AI$77)^AI$3))</f>
        <v>0</v>
      </c>
      <c r="AJ90" s="384">
        <f>IF('Data Entry'!$H$5="3.5% Declining",AJ58*AJ76,AJ58/((1+AJ$77)^AJ$3))</f>
        <v>0</v>
      </c>
      <c r="AK90" s="384">
        <f>IF('Data Entry'!$H$5="3.5% Declining",AK58*AK76,AK58/((1+AK$77)^AK$3))</f>
        <v>0</v>
      </c>
      <c r="AL90" s="384">
        <f>IF('Data Entry'!$H$5="3.5% Declining",AL58*AL76,AL58/((1+AL$77)^AL$3))</f>
        <v>0</v>
      </c>
      <c r="AM90" s="384">
        <f>IF('Data Entry'!$H$5="3.5% Declining",AM58*AM76,AM58/((1+AM$77)^AM$3))</f>
        <v>0</v>
      </c>
      <c r="AN90" s="384">
        <f>IF('Data Entry'!$H$5="3.5% Declining",AN58*AN76,AN58/((1+AN$77)^AN$3))</f>
        <v>0</v>
      </c>
      <c r="AO90" s="559">
        <f>IF('Data Entry'!$H$5="3.5% Declining",AO58*AO76,AO58/((1+AO$77)^AO$3))</f>
        <v>0</v>
      </c>
      <c r="AP90" s="384">
        <f>IF('Data Entry'!$H$5="3.5% Declining",AP58*AP76,AP58/((1+AP$77)^AP$3))</f>
        <v>0</v>
      </c>
      <c r="AQ90" s="384">
        <f>IF('Data Entry'!$H$5="3.5% Declining",AQ58*AQ76,AQ58/((1+AQ$77)^AQ$3))</f>
        <v>0</v>
      </c>
      <c r="AR90" s="384">
        <f>IF('Data Entry'!$H$5="3.5% Declining",AR58*AR76,AR58/((1+AR$77)^AR$3))</f>
        <v>0</v>
      </c>
      <c r="AS90" s="384">
        <f>IF('Data Entry'!$H$5="3.5% Declining",AS58*AS76,AS58/((1+AS$77)^AS$3))</f>
        <v>0</v>
      </c>
      <c r="AT90" s="384">
        <f>IF('Data Entry'!$H$5="3.5% Declining",AT58*AT76,AT58/((1+AT$77)^AT$3))</f>
        <v>0</v>
      </c>
      <c r="AU90" s="384">
        <f>IF('Data Entry'!$H$5="3.5% Declining",AU58*AU76,AU58/((1+AU$77)^AU$3))</f>
        <v>0</v>
      </c>
      <c r="AV90" s="384">
        <f>IF('Data Entry'!$H$5="3.5% Declining",AV58*AV76,AV58/((1+AV$77)^AV$3))</f>
        <v>0</v>
      </c>
      <c r="AW90" s="384">
        <f>IF('Data Entry'!$H$5="3.5% Declining",AW58*AW76,AW58/((1+AW$77)^AW$3))</f>
        <v>0</v>
      </c>
      <c r="AX90" s="384">
        <f>IF('Data Entry'!$H$5="3.5% Declining",AX58*AX76,AX58/((1+AX$77)^AX$3))</f>
        <v>0</v>
      </c>
      <c r="AY90" s="384">
        <f>IF('Data Entry'!$H$5="3.5% Declining",AY58*AY76,AY58/((1+AY$77)^AY$3))</f>
        <v>0</v>
      </c>
      <c r="AZ90" s="384">
        <f>IF('Data Entry'!$H$5="3.5% Declining",AZ58*AZ76,AZ58/((1+AZ$77)^AZ$3))</f>
        <v>0</v>
      </c>
      <c r="BA90" s="384">
        <f>IF('Data Entry'!$H$5="3.5% Declining",BA58*BA76,BA58/((1+BA$77)^BA$3))</f>
        <v>0</v>
      </c>
      <c r="BB90" s="384">
        <f>IF('Data Entry'!$H$5="3.5% Declining",BB58*BB76,BB58/((1+BB$77)^BB$3))</f>
        <v>0</v>
      </c>
      <c r="BC90" s="384">
        <f>IF('Data Entry'!$H$5="3.5% Declining",BC58*BC76,BC58/((1+BC$77)^BC$3))</f>
        <v>0</v>
      </c>
      <c r="BD90" s="384">
        <f>IF('Data Entry'!$H$5="3.5% Declining",BD58*BD76,BD58/((1+BD$77)^BD$3))</f>
        <v>0</v>
      </c>
      <c r="BE90" s="384">
        <f>IF('Data Entry'!$H$5="3.5% Declining",BE58*BE76,BE58/((1+BE$77)^BE$3))</f>
        <v>0</v>
      </c>
      <c r="BF90" s="384">
        <f>IF('Data Entry'!$H$5="3.5% Declining",BF58*BF76,BF58/((1+BF$77)^BF$3))</f>
        <v>0</v>
      </c>
      <c r="BG90" s="384">
        <f>IF('Data Entry'!$H$5="3.5% Declining",BG58*BG76,BG58/((1+BG$77)^BG$3))</f>
        <v>0</v>
      </c>
      <c r="BH90" s="384">
        <f>IF('Data Entry'!$H$5="3.5% Declining",BH58*BH76,BH58/((1+BH$77)^BH$3))</f>
        <v>0</v>
      </c>
      <c r="BI90" s="384">
        <f>IF('Data Entry'!$H$5="3.5% Declining",BI58*BI76,BI58/((1+BI$77)^BI$3))</f>
        <v>0</v>
      </c>
      <c r="BJ90" s="384">
        <f>IF('Data Entry'!$H$5="3.5% Declining",BJ58*BJ76,BJ58/((1+BJ$77)^BJ$3))</f>
        <v>0</v>
      </c>
      <c r="BK90" s="559">
        <f>IF('Data Entry'!$H$5="3.5% Declining",BK58*BK76,BK58/((1+BK$77)^BK$3))</f>
        <v>0</v>
      </c>
      <c r="BL90" s="384">
        <f>IF('Data Entry'!$H$5="3.5% Declining",BL58*BL76,BL58/((1+BL$77)^BL$3))</f>
        <v>0</v>
      </c>
      <c r="BM90" s="384">
        <f>IF('Data Entry'!$H$5="3.5% Declining",BM58*BM76,BM58/((1+BM$77)^BM$3))</f>
        <v>0</v>
      </c>
      <c r="BN90" s="384">
        <f>IF('Data Entry'!$H$5="3.5% Declining",BN58*BN76,BN58/((1+BN$77)^BN$3))</f>
        <v>0</v>
      </c>
      <c r="BO90" s="384">
        <f>IF('Data Entry'!$H$5="3.5% Declining",BO58*BO76,BO58/((1+BO$77)^BO$3))</f>
        <v>0</v>
      </c>
      <c r="BP90" s="384">
        <f>IF('Data Entry'!$H$5="3.5% Declining",BP58*BP76,BP58/((1+BP$77)^BP$3))</f>
        <v>0</v>
      </c>
      <c r="BQ90" s="384">
        <f>IF('Data Entry'!$H$5="3.5% Declining",BQ58*BQ76,BQ58/((1+BQ$77)^BQ$3))</f>
        <v>0</v>
      </c>
      <c r="BR90" s="384">
        <f>IF('Data Entry'!$H$5="3.5% Declining",BR58*BR76,BR58/((1+BR$77)^BR$3))</f>
        <v>0</v>
      </c>
      <c r="BS90" s="384">
        <f>IF('Data Entry'!$H$5="3.5% Declining",BS58*BS76,BS58/((1+BS$77)^BS$3))</f>
        <v>0</v>
      </c>
      <c r="BT90" s="384">
        <f>IF('Data Entry'!$H$5="3.5% Declining",BT58*BT76,BT58/((1+BT$77)^BT$3))</f>
        <v>0</v>
      </c>
      <c r="BU90" s="384">
        <f>IF('Data Entry'!$H$5="3.5% Declining",BU58*BU76,BU58/((1+BU$77)^BU$3))</f>
        <v>0</v>
      </c>
      <c r="BV90" s="384">
        <f>IF('Data Entry'!$H$5="3.5% Declining",BV58*BV76,BV58/((1+BV$77)^BV$3))</f>
        <v>0</v>
      </c>
      <c r="BW90" s="384">
        <f>IF('Data Entry'!$H$5="3.5% Declining",BW58*BW76,BW58/((1+BW$77)^BW$3))</f>
        <v>0</v>
      </c>
      <c r="BX90" s="384">
        <f>IF('Data Entry'!$H$5="3.5% Declining",BX58*BX76,BX58/((1+BX$77)^BX$3))</f>
        <v>0</v>
      </c>
      <c r="BY90" s="384">
        <f>IF('Data Entry'!$H$5="3.5% Declining",BY58*BY76,BY58/((1+BY$77)^BY$3))</f>
        <v>0</v>
      </c>
      <c r="BZ90" s="384">
        <f>IF('Data Entry'!$H$5="3.5% Declining",BZ58*BZ76,BZ58/((1+BZ$77)^BZ$3))</f>
        <v>0</v>
      </c>
      <c r="CA90" s="559">
        <f>IF('Data Entry'!$H$5="3.5% Declining",CA58*CA76,CA58/((1+CA$77)^CA$3))</f>
        <v>0</v>
      </c>
      <c r="CB90" s="384">
        <f>IF('Data Entry'!$H$5="3.5% Declining",CB58*CB76,CB58/((1+CB$77)^CB$3))</f>
        <v>0</v>
      </c>
      <c r="CC90" s="384">
        <f>IF('Data Entry'!$H$5="3.5% Declining",CC58*CC76,CC58/((1+CC$77)^CC$3))</f>
        <v>0</v>
      </c>
      <c r="CD90" s="384">
        <f>IF('Data Entry'!$H$5="3.5% Declining",CD58*CD76,CD58/((1+CD$77)^CD$3))</f>
        <v>0</v>
      </c>
      <c r="CE90" s="384">
        <f>IF('Data Entry'!$H$5="3.5% Declining",CE58*CE76,CE58/((1+CE$77)^CE$3))</f>
        <v>0</v>
      </c>
      <c r="CF90" s="384">
        <f>IF('Data Entry'!$H$5="3.5% Declining",CF58*CF76,CF58/((1+CF$77)^CF$3))</f>
        <v>0</v>
      </c>
      <c r="CG90" s="384">
        <f>IF('Data Entry'!$H$5="3.5% Declining",CG58*CG76,CG58/((1+CG$77)^CG$3))</f>
        <v>0</v>
      </c>
      <c r="CH90" s="384">
        <f>IF('Data Entry'!$H$5="3.5% Declining",CH58*CH76,CH58/((1+CH$77)^CH$3))</f>
        <v>0</v>
      </c>
      <c r="CI90" s="384">
        <f>IF('Data Entry'!$H$5="3.5% Declining",CI58*CI76,CI58/((1+CI$77)^CI$3))</f>
        <v>0</v>
      </c>
      <c r="CJ90" s="384">
        <f>IF('Data Entry'!$H$5="3.5% Declining",CJ58*CJ76,CJ58/((1+CJ$77)^CJ$3))</f>
        <v>0</v>
      </c>
      <c r="CK90" s="384">
        <f>IF('Data Entry'!$H$5="3.5% Declining",CK58*CK76,CK58/((1+CK$77)^CK$3))</f>
        <v>0</v>
      </c>
      <c r="CL90" s="384">
        <f>IF('Data Entry'!$H$5="3.5% Declining",CL58*CL76,CL58/((1+CL$77)^CL$3))</f>
        <v>0</v>
      </c>
      <c r="CM90" s="384">
        <f>IF('Data Entry'!$H$5="3.5% Declining",CM58*CM76,CM58/((1+CM$77)^CM$3))</f>
        <v>0</v>
      </c>
      <c r="CN90" s="384">
        <f>IF('Data Entry'!$H$5="3.5% Declining",CN58*CN76,CN58/((1+CN$77)^CN$3))</f>
        <v>0</v>
      </c>
      <c r="CO90" s="384">
        <f>IF('Data Entry'!$H$5="3.5% Declining",CO58*CO76,CO58/((1+CO$77)^CO$3))</f>
        <v>0</v>
      </c>
      <c r="CP90" s="384">
        <f>IF('Data Entry'!$H$5="3.5% Declining",CP58*CP76,CP58/((1+CP$77)^CP$3))</f>
        <v>0</v>
      </c>
      <c r="CQ90" s="384">
        <f>IF('Data Entry'!$H$5="3.5% Declining",CQ58*CQ76,CQ58/((1+CQ$77)^CQ$3))</f>
        <v>0</v>
      </c>
      <c r="CR90" s="384">
        <f>IF('Data Entry'!$H$5="3.5% Declining",CR58*CR76,CR58/((1+CR$77)^CR$3))</f>
        <v>0</v>
      </c>
      <c r="CS90" s="384">
        <f>IF('Data Entry'!$H$5="3.5% Declining",CS58*CS76,CS58/((1+CS$77)^CS$3))</f>
        <v>0</v>
      </c>
      <c r="CT90" s="384">
        <f>IF('Data Entry'!$H$5="3.5% Declining",CT58*CT76,CT58/((1+CT$77)^CT$3))</f>
        <v>0</v>
      </c>
      <c r="CU90" s="384">
        <f>IF('Data Entry'!$H$5="3.5% Declining",CU58*CU76,CU58/((1+CU$77)^CU$3))</f>
        <v>0</v>
      </c>
      <c r="CV90" s="384">
        <f>IF('Data Entry'!$H$5="3.5% Declining",CV58*CV76,CV58/((1+CV$77)^CV$3))</f>
        <v>0</v>
      </c>
      <c r="CW90" s="384">
        <f>IF('Data Entry'!$H$5="3.5% Declining",CW58*CW76,CW58/((1+CW$77)^CW$3))</f>
        <v>0</v>
      </c>
      <c r="CX90" s="384">
        <f>IF('Data Entry'!$H$5="3.5% Declining",CX58*CX76,CX58/((1+CX$77)^CX$3))</f>
        <v>0</v>
      </c>
      <c r="CY90" s="566">
        <f>IF('Data Entry'!$H$5="3.5% Declining",CY58*CY76,CY58/((1+CY$77)^CY$3))</f>
        <v>0</v>
      </c>
    </row>
    <row r="91" spans="1:103" ht="15" customHeight="1" x14ac:dyDescent="0.3">
      <c r="A91" s="758" t="str">
        <f t="shared" si="44"/>
        <v>Discounted One-off payments/sponsorships/donations (specify)</v>
      </c>
      <c r="B91" s="759"/>
      <c r="C91" s="760">
        <f t="shared" si="43"/>
        <v>0</v>
      </c>
      <c r="D91" s="384">
        <f>IF('Data Entry'!$H$5="3.5% Declining",D59*D76,D59/((1+D$77)^D$3))</f>
        <v>0</v>
      </c>
      <c r="E91" s="384">
        <f>IF('Data Entry'!$H$5="3.5% Declining",E59*E76,E59/((1+E$77)^E$3))</f>
        <v>0</v>
      </c>
      <c r="F91" s="384">
        <f>IF('Data Entry'!$H$5="3.5% Declining",F59*F76,F59/((1+F$77)^F$3))</f>
        <v>0</v>
      </c>
      <c r="G91" s="384">
        <f>IF('Data Entry'!$H$5="3.5% Declining",G59*G76,G59/((1+G$77)^G$3))</f>
        <v>0</v>
      </c>
      <c r="H91" s="384">
        <f>IF('Data Entry'!$H$5="3.5% Declining",H59*H76,H59/((1+H$77)^H$3))</f>
        <v>0</v>
      </c>
      <c r="I91" s="384">
        <f>IF('Data Entry'!$H$5="3.5% Declining",I59*I76,I59/((1+I$77)^I$3))</f>
        <v>0</v>
      </c>
      <c r="J91" s="384">
        <f>IF('Data Entry'!$H$5="3.5% Declining",J59*J76,J59/((1+J$77)^J$3))</f>
        <v>0</v>
      </c>
      <c r="K91" s="384">
        <f>IF('Data Entry'!$H$5="3.5% Declining",K59*K76,K59/((1+K$77)^K$3))</f>
        <v>0</v>
      </c>
      <c r="L91" s="384">
        <f>IF('Data Entry'!$H$5="3.5% Declining",L59*L76,L59/((1+L$77)^L$3))</f>
        <v>0</v>
      </c>
      <c r="M91" s="384">
        <f>IF('Data Entry'!$H$5="3.5% Declining",M59*M76,M59/((1+M$77)^M$3))</f>
        <v>0</v>
      </c>
      <c r="N91" s="384">
        <f>IF('Data Entry'!$H$5="3.5% Declining",N59*N76,N59/((1+N$77)^N$3))</f>
        <v>0</v>
      </c>
      <c r="O91" s="384">
        <f>IF('Data Entry'!$H$5="3.5% Declining",O59*O76,O59/((1+O$77)^O$3))</f>
        <v>0</v>
      </c>
      <c r="P91" s="384">
        <f>IF('Data Entry'!$H$5="3.5% Declining",P59*P76,P59/((1+P$77)^P$3))</f>
        <v>0</v>
      </c>
      <c r="Q91" s="384">
        <f>IF('Data Entry'!$H$5="3.5% Declining",Q59*Q76,Q59/((1+Q$77)^Q$3))</f>
        <v>0</v>
      </c>
      <c r="R91" s="384">
        <f>IF('Data Entry'!$H$5="3.5% Declining",R59*R76,R59/((1+R$77)^R$3))</f>
        <v>0</v>
      </c>
      <c r="S91" s="384">
        <f>IF('Data Entry'!$H$5="3.5% Declining",S59*S76,S59/((1+S$77)^S$3))</f>
        <v>0</v>
      </c>
      <c r="T91" s="384">
        <f>IF('Data Entry'!$H$5="3.5% Declining",T59*T76,T59/((1+T$77)^T$3))</f>
        <v>0</v>
      </c>
      <c r="U91" s="384">
        <f>IF('Data Entry'!$H$5="3.5% Declining",U59*U76,U59/((1+U$77)^U$3))</f>
        <v>0</v>
      </c>
      <c r="V91" s="384">
        <f>IF('Data Entry'!$H$5="3.5% Declining",V59*V76,V59/((1+V$77)^V$3))</f>
        <v>0</v>
      </c>
      <c r="W91" s="384">
        <f>IF('Data Entry'!$H$5="3.5% Declining",W59*W76,W59/((1+W$77)^W$3))</f>
        <v>0</v>
      </c>
      <c r="X91" s="384">
        <f>IF('Data Entry'!$H$5="3.5% Declining",X59*X76,X59/((1+X$77)^X$3))</f>
        <v>0</v>
      </c>
      <c r="Y91" s="384">
        <f>IF('Data Entry'!$H$5="3.5% Declining",Y59*Y76,Y59/((1+Y$77)^Y$3))</f>
        <v>0</v>
      </c>
      <c r="Z91" s="384">
        <f>IF('Data Entry'!$H$5="3.5% Declining",Z59*Z76,Z59/((1+Z$77)^Z$3))</f>
        <v>0</v>
      </c>
      <c r="AA91" s="384">
        <f>IF('Data Entry'!$H$5="3.5% Declining",AA59*AA76,AA59/((1+AA$77)^AA$3))</f>
        <v>0</v>
      </c>
      <c r="AB91" s="384">
        <f>IF('Data Entry'!$H$5="3.5% Declining",AB59*AB76,AB59/((1+AB$77)^AB$3))</f>
        <v>0</v>
      </c>
      <c r="AC91" s="384">
        <f>IF('Data Entry'!$H$5="3.5% Declining",AC59*AC76,AC59/((1+AC$77)^AC$3))</f>
        <v>0</v>
      </c>
      <c r="AD91" s="384">
        <f>IF('Data Entry'!$H$5="3.5% Declining",AD59*AD76,AD59/((1+AD$77)^AD$3))</f>
        <v>0</v>
      </c>
      <c r="AE91" s="384">
        <f>IF('Data Entry'!$H$5="3.5% Declining",AE59*AE76,AE59/((1+AE$77)^AE$3))</f>
        <v>0</v>
      </c>
      <c r="AF91" s="384">
        <f>IF('Data Entry'!$H$5="3.5% Declining",AF59*AF76,AF59/((1+AF$77)^AF$3))</f>
        <v>0</v>
      </c>
      <c r="AG91" s="384">
        <f>IF('Data Entry'!$H$5="3.5% Declining",AG59*AG76,AG59/((1+AG$77)^AG$3))</f>
        <v>0</v>
      </c>
      <c r="AH91" s="384">
        <f>IF('Data Entry'!$H$5="3.5% Declining",AH59*AH76,AH59/((1+AH$77)^AH$3))</f>
        <v>0</v>
      </c>
      <c r="AI91" s="384">
        <f>IF('Data Entry'!$H$5="3.5% Declining",AI59*AI76,AI59/((1+AI$77)^AI$3))</f>
        <v>0</v>
      </c>
      <c r="AJ91" s="384">
        <f>IF('Data Entry'!$H$5="3.5% Declining",AJ59*AJ76,AJ59/((1+AJ$77)^AJ$3))</f>
        <v>0</v>
      </c>
      <c r="AK91" s="384">
        <f>IF('Data Entry'!$H$5="3.5% Declining",AK59*AK76,AK59/((1+AK$77)^AK$3))</f>
        <v>0</v>
      </c>
      <c r="AL91" s="384">
        <f>IF('Data Entry'!$H$5="3.5% Declining",AL59*AL76,AL59/((1+AL$77)^AL$3))</f>
        <v>0</v>
      </c>
      <c r="AM91" s="384">
        <f>IF('Data Entry'!$H$5="3.5% Declining",AM59*AM76,AM59/((1+AM$77)^AM$3))</f>
        <v>0</v>
      </c>
      <c r="AN91" s="384">
        <f>IF('Data Entry'!$H$5="3.5% Declining",AN59*AN76,AN59/((1+AN$77)^AN$3))</f>
        <v>0</v>
      </c>
      <c r="AO91" s="559">
        <f>IF('Data Entry'!$H$5="3.5% Declining",AO59*AO76,AO59/((1+AO$77)^AO$3))</f>
        <v>0</v>
      </c>
      <c r="AP91" s="384">
        <f>IF('Data Entry'!$H$5="3.5% Declining",AP59*AP76,AP59/((1+AP$77)^AP$3))</f>
        <v>0</v>
      </c>
      <c r="AQ91" s="384">
        <f>IF('Data Entry'!$H$5="3.5% Declining",AQ59*AQ76,AQ59/((1+AQ$77)^AQ$3))</f>
        <v>0</v>
      </c>
      <c r="AR91" s="384">
        <f>IF('Data Entry'!$H$5="3.5% Declining",AR59*AR76,AR59/((1+AR$77)^AR$3))</f>
        <v>0</v>
      </c>
      <c r="AS91" s="384">
        <f>IF('Data Entry'!$H$5="3.5% Declining",AS59*AS76,AS59/((1+AS$77)^AS$3))</f>
        <v>0</v>
      </c>
      <c r="AT91" s="384">
        <f>IF('Data Entry'!$H$5="3.5% Declining",AT59*AT76,AT59/((1+AT$77)^AT$3))</f>
        <v>0</v>
      </c>
      <c r="AU91" s="384">
        <f>IF('Data Entry'!$H$5="3.5% Declining",AU59*AU76,AU59/((1+AU$77)^AU$3))</f>
        <v>0</v>
      </c>
      <c r="AV91" s="384">
        <f>IF('Data Entry'!$H$5="3.5% Declining",AV59*AV76,AV59/((1+AV$77)^AV$3))</f>
        <v>0</v>
      </c>
      <c r="AW91" s="384">
        <f>IF('Data Entry'!$H$5="3.5% Declining",AW59*AW76,AW59/((1+AW$77)^AW$3))</f>
        <v>0</v>
      </c>
      <c r="AX91" s="384">
        <f>IF('Data Entry'!$H$5="3.5% Declining",AX59*AX76,AX59/((1+AX$77)^AX$3))</f>
        <v>0</v>
      </c>
      <c r="AY91" s="384">
        <f>IF('Data Entry'!$H$5="3.5% Declining",AY59*AY76,AY59/((1+AY$77)^AY$3))</f>
        <v>0</v>
      </c>
      <c r="AZ91" s="384">
        <f>IF('Data Entry'!$H$5="3.5% Declining",AZ59*AZ76,AZ59/((1+AZ$77)^AZ$3))</f>
        <v>0</v>
      </c>
      <c r="BA91" s="384">
        <f>IF('Data Entry'!$H$5="3.5% Declining",BA59*BA76,BA59/((1+BA$77)^BA$3))</f>
        <v>0</v>
      </c>
      <c r="BB91" s="384">
        <f>IF('Data Entry'!$H$5="3.5% Declining",BB59*BB76,BB59/((1+BB$77)^BB$3))</f>
        <v>0</v>
      </c>
      <c r="BC91" s="384">
        <f>IF('Data Entry'!$H$5="3.5% Declining",BC59*BC76,BC59/((1+BC$77)^BC$3))</f>
        <v>0</v>
      </c>
      <c r="BD91" s="384">
        <f>IF('Data Entry'!$H$5="3.5% Declining",BD59*BD76,BD59/((1+BD$77)^BD$3))</f>
        <v>0</v>
      </c>
      <c r="BE91" s="384">
        <f>IF('Data Entry'!$H$5="3.5% Declining",BE59*BE76,BE59/((1+BE$77)^BE$3))</f>
        <v>0</v>
      </c>
      <c r="BF91" s="384">
        <f>IF('Data Entry'!$H$5="3.5% Declining",BF59*BF76,BF59/((1+BF$77)^BF$3))</f>
        <v>0</v>
      </c>
      <c r="BG91" s="384">
        <f>IF('Data Entry'!$H$5="3.5% Declining",BG59*BG76,BG59/((1+BG$77)^BG$3))</f>
        <v>0</v>
      </c>
      <c r="BH91" s="384">
        <f>IF('Data Entry'!$H$5="3.5% Declining",BH59*BH76,BH59/((1+BH$77)^BH$3))</f>
        <v>0</v>
      </c>
      <c r="BI91" s="384">
        <f>IF('Data Entry'!$H$5="3.5% Declining",BI59*BI76,BI59/((1+BI$77)^BI$3))</f>
        <v>0</v>
      </c>
      <c r="BJ91" s="384">
        <f>IF('Data Entry'!$H$5="3.5% Declining",BJ59*BJ76,BJ59/((1+BJ$77)^BJ$3))</f>
        <v>0</v>
      </c>
      <c r="BK91" s="559">
        <f>IF('Data Entry'!$H$5="3.5% Declining",BK59*BK76,BK59/((1+BK$77)^BK$3))</f>
        <v>0</v>
      </c>
      <c r="BL91" s="384">
        <f>IF('Data Entry'!$H$5="3.5% Declining",BL59*BL76,BL59/((1+BL$77)^BL$3))</f>
        <v>0</v>
      </c>
      <c r="BM91" s="384">
        <f>IF('Data Entry'!$H$5="3.5% Declining",BM59*BM76,BM59/((1+BM$77)^BM$3))</f>
        <v>0</v>
      </c>
      <c r="BN91" s="384">
        <f>IF('Data Entry'!$H$5="3.5% Declining",BN59*BN76,BN59/((1+BN$77)^BN$3))</f>
        <v>0</v>
      </c>
      <c r="BO91" s="384">
        <f>IF('Data Entry'!$H$5="3.5% Declining",BO59*BO76,BO59/((1+BO$77)^BO$3))</f>
        <v>0</v>
      </c>
      <c r="BP91" s="384">
        <f>IF('Data Entry'!$H$5="3.5% Declining",BP59*BP76,BP59/((1+BP$77)^BP$3))</f>
        <v>0</v>
      </c>
      <c r="BQ91" s="384">
        <f>IF('Data Entry'!$H$5="3.5% Declining",BQ59*BQ76,BQ59/((1+BQ$77)^BQ$3))</f>
        <v>0</v>
      </c>
      <c r="BR91" s="384">
        <f>IF('Data Entry'!$H$5="3.5% Declining",BR59*BR76,BR59/((1+BR$77)^BR$3))</f>
        <v>0</v>
      </c>
      <c r="BS91" s="384">
        <f>IF('Data Entry'!$H$5="3.5% Declining",BS59*BS76,BS59/((1+BS$77)^BS$3))</f>
        <v>0</v>
      </c>
      <c r="BT91" s="384">
        <f>IF('Data Entry'!$H$5="3.5% Declining",BT59*BT76,BT59/((1+BT$77)^BT$3))</f>
        <v>0</v>
      </c>
      <c r="BU91" s="384">
        <f>IF('Data Entry'!$H$5="3.5% Declining",BU59*BU76,BU59/((1+BU$77)^BU$3))</f>
        <v>0</v>
      </c>
      <c r="BV91" s="384">
        <f>IF('Data Entry'!$H$5="3.5% Declining",BV59*BV76,BV59/((1+BV$77)^BV$3))</f>
        <v>0</v>
      </c>
      <c r="BW91" s="384">
        <f>IF('Data Entry'!$H$5="3.5% Declining",BW59*BW76,BW59/((1+BW$77)^BW$3))</f>
        <v>0</v>
      </c>
      <c r="BX91" s="384">
        <f>IF('Data Entry'!$H$5="3.5% Declining",BX59*BX76,BX59/((1+BX$77)^BX$3))</f>
        <v>0</v>
      </c>
      <c r="BY91" s="384">
        <f>IF('Data Entry'!$H$5="3.5% Declining",BY59*BY76,BY59/((1+BY$77)^BY$3))</f>
        <v>0</v>
      </c>
      <c r="BZ91" s="384">
        <f>IF('Data Entry'!$H$5="3.5% Declining",BZ59*BZ76,BZ59/((1+BZ$77)^BZ$3))</f>
        <v>0</v>
      </c>
      <c r="CA91" s="559">
        <f>IF('Data Entry'!$H$5="3.5% Declining",CA59*CA76,CA59/((1+CA$77)^CA$3))</f>
        <v>0</v>
      </c>
      <c r="CB91" s="384">
        <f>IF('Data Entry'!$H$5="3.5% Declining",CB59*CB76,CB59/((1+CB$77)^CB$3))</f>
        <v>0</v>
      </c>
      <c r="CC91" s="384">
        <f>IF('Data Entry'!$H$5="3.5% Declining",CC59*CC76,CC59/((1+CC$77)^CC$3))</f>
        <v>0</v>
      </c>
      <c r="CD91" s="384">
        <f>IF('Data Entry'!$H$5="3.5% Declining",CD59*CD76,CD59/((1+CD$77)^CD$3))</f>
        <v>0</v>
      </c>
      <c r="CE91" s="384">
        <f>IF('Data Entry'!$H$5="3.5% Declining",CE59*CE76,CE59/((1+CE$77)^CE$3))</f>
        <v>0</v>
      </c>
      <c r="CF91" s="384">
        <f>IF('Data Entry'!$H$5="3.5% Declining",CF59*CF76,CF59/((1+CF$77)^CF$3))</f>
        <v>0</v>
      </c>
      <c r="CG91" s="384">
        <f>IF('Data Entry'!$H$5="3.5% Declining",CG59*CG76,CG59/((1+CG$77)^CG$3))</f>
        <v>0</v>
      </c>
      <c r="CH91" s="384">
        <f>IF('Data Entry'!$H$5="3.5% Declining",CH59*CH76,CH59/((1+CH$77)^CH$3))</f>
        <v>0</v>
      </c>
      <c r="CI91" s="384">
        <f>IF('Data Entry'!$H$5="3.5% Declining",CI59*CI76,CI59/((1+CI$77)^CI$3))</f>
        <v>0</v>
      </c>
      <c r="CJ91" s="384">
        <f>IF('Data Entry'!$H$5="3.5% Declining",CJ59*CJ76,CJ59/((1+CJ$77)^CJ$3))</f>
        <v>0</v>
      </c>
      <c r="CK91" s="384">
        <f>IF('Data Entry'!$H$5="3.5% Declining",CK59*CK76,CK59/((1+CK$77)^CK$3))</f>
        <v>0</v>
      </c>
      <c r="CL91" s="384">
        <f>IF('Data Entry'!$H$5="3.5% Declining",CL59*CL76,CL59/((1+CL$77)^CL$3))</f>
        <v>0</v>
      </c>
      <c r="CM91" s="384">
        <f>IF('Data Entry'!$H$5="3.5% Declining",CM59*CM76,CM59/((1+CM$77)^CM$3))</f>
        <v>0</v>
      </c>
      <c r="CN91" s="384">
        <f>IF('Data Entry'!$H$5="3.5% Declining",CN59*CN76,CN59/((1+CN$77)^CN$3))</f>
        <v>0</v>
      </c>
      <c r="CO91" s="384">
        <f>IF('Data Entry'!$H$5="3.5% Declining",CO59*CO76,CO59/((1+CO$77)^CO$3))</f>
        <v>0</v>
      </c>
      <c r="CP91" s="384">
        <f>IF('Data Entry'!$H$5="3.5% Declining",CP59*CP76,CP59/((1+CP$77)^CP$3))</f>
        <v>0</v>
      </c>
      <c r="CQ91" s="384">
        <f>IF('Data Entry'!$H$5="3.5% Declining",CQ59*CQ76,CQ59/((1+CQ$77)^CQ$3))</f>
        <v>0</v>
      </c>
      <c r="CR91" s="384">
        <f>IF('Data Entry'!$H$5="3.5% Declining",CR59*CR76,CR59/((1+CR$77)^CR$3))</f>
        <v>0</v>
      </c>
      <c r="CS91" s="384">
        <f>IF('Data Entry'!$H$5="3.5% Declining",CS59*CS76,CS59/((1+CS$77)^CS$3))</f>
        <v>0</v>
      </c>
      <c r="CT91" s="384">
        <f>IF('Data Entry'!$H$5="3.5% Declining",CT59*CT76,CT59/((1+CT$77)^CT$3))</f>
        <v>0</v>
      </c>
      <c r="CU91" s="384">
        <f>IF('Data Entry'!$H$5="3.5% Declining",CU59*CU76,CU59/((1+CU$77)^CU$3))</f>
        <v>0</v>
      </c>
      <c r="CV91" s="384">
        <f>IF('Data Entry'!$H$5="3.5% Declining",CV59*CV76,CV59/((1+CV$77)^CV$3))</f>
        <v>0</v>
      </c>
      <c r="CW91" s="384">
        <f>IF('Data Entry'!$H$5="3.5% Declining",CW59*CW76,CW59/((1+CW$77)^CW$3))</f>
        <v>0</v>
      </c>
      <c r="CX91" s="384">
        <f>IF('Data Entry'!$H$5="3.5% Declining",CX59*CX76,CX59/((1+CX$77)^CX$3))</f>
        <v>0</v>
      </c>
      <c r="CY91" s="566">
        <f>IF('Data Entry'!$H$5="3.5% Declining",CY59*CY76,CY59/((1+CY$77)^CY$3))</f>
        <v>0</v>
      </c>
    </row>
    <row r="92" spans="1:103" ht="15" customHeight="1" thickBot="1" x14ac:dyDescent="0.35">
      <c r="A92" s="758" t="str">
        <f t="shared" si="44"/>
        <v>Discounted One-off payments/sponsorships/donations (specify)</v>
      </c>
      <c r="B92" s="759"/>
      <c r="C92" s="762">
        <f t="shared" si="43"/>
        <v>0</v>
      </c>
      <c r="D92" s="385">
        <f>IF('Data Entry'!$H$5="3.5% Declining",D60*D76,D60/((1+D$77)^D$3))</f>
        <v>0</v>
      </c>
      <c r="E92" s="385">
        <f>IF('Data Entry'!$H$5="3.5% Declining",E60*E76,E60/((1+E$77)^E$3))</f>
        <v>0</v>
      </c>
      <c r="F92" s="385">
        <f>IF('Data Entry'!$H$5="3.5% Declining",F60*F76,F60/((1+F$77)^F$3))</f>
        <v>0</v>
      </c>
      <c r="G92" s="385">
        <f>IF('Data Entry'!$H$5="3.5% Declining",G60*G76,G60/((1+G$77)^G$3))</f>
        <v>0</v>
      </c>
      <c r="H92" s="385">
        <f>IF('Data Entry'!$H$5="3.5% Declining",H60*H76,H60/((1+H$77)^H$3))</f>
        <v>0</v>
      </c>
      <c r="I92" s="385">
        <f>IF('Data Entry'!$H$5="3.5% Declining",I60*I76,I60/((1+I$77)^I$3))</f>
        <v>0</v>
      </c>
      <c r="J92" s="385">
        <f>IF('Data Entry'!$H$5="3.5% Declining",J60*J76,J60/((1+J$77)^J$3))</f>
        <v>0</v>
      </c>
      <c r="K92" s="385">
        <f>IF('Data Entry'!$H$5="3.5% Declining",K60*K76,K60/((1+K$77)^K$3))</f>
        <v>0</v>
      </c>
      <c r="L92" s="385">
        <f>IF('Data Entry'!$H$5="3.5% Declining",L60*L76,L60/((1+L$77)^L$3))</f>
        <v>0</v>
      </c>
      <c r="M92" s="385">
        <f>IF('Data Entry'!$H$5="3.5% Declining",M60*M76,M60/((1+M$77)^M$3))</f>
        <v>0</v>
      </c>
      <c r="N92" s="385">
        <f>IF('Data Entry'!$H$5="3.5% Declining",N60*N76,N60/((1+N$77)^N$3))</f>
        <v>0</v>
      </c>
      <c r="O92" s="385">
        <f>IF('Data Entry'!$H$5="3.5% Declining",O60*O76,O60/((1+O$77)^O$3))</f>
        <v>0</v>
      </c>
      <c r="P92" s="385">
        <f>IF('Data Entry'!$H$5="3.5% Declining",P60*P76,P60/((1+P$77)^P$3))</f>
        <v>0</v>
      </c>
      <c r="Q92" s="385">
        <f>IF('Data Entry'!$H$5="3.5% Declining",Q60*Q76,Q60/((1+Q$77)^Q$3))</f>
        <v>0</v>
      </c>
      <c r="R92" s="385">
        <f>IF('Data Entry'!$H$5="3.5% Declining",R60*R76,R60/((1+R$77)^R$3))</f>
        <v>0</v>
      </c>
      <c r="S92" s="385">
        <f>IF('Data Entry'!$H$5="3.5% Declining",S60*S76,S60/((1+S$77)^S$3))</f>
        <v>0</v>
      </c>
      <c r="T92" s="385">
        <f>IF('Data Entry'!$H$5="3.5% Declining",T60*T76,T60/((1+T$77)^T$3))</f>
        <v>0</v>
      </c>
      <c r="U92" s="385">
        <f>IF('Data Entry'!$H$5="3.5% Declining",U60*U76,U60/((1+U$77)^U$3))</f>
        <v>0</v>
      </c>
      <c r="V92" s="385">
        <f>IF('Data Entry'!$H$5="3.5% Declining",V60*V76,V60/((1+V$77)^V$3))</f>
        <v>0</v>
      </c>
      <c r="W92" s="385">
        <f>IF('Data Entry'!$H$5="3.5% Declining",W60*W76,W60/((1+W$77)^W$3))</f>
        <v>0</v>
      </c>
      <c r="X92" s="385">
        <f>IF('Data Entry'!$H$5="3.5% Declining",X60*X76,X60/((1+X$77)^X$3))</f>
        <v>0</v>
      </c>
      <c r="Y92" s="385">
        <f>IF('Data Entry'!$H$5="3.5% Declining",Y60*Y76,Y60/((1+Y$77)^Y$3))</f>
        <v>0</v>
      </c>
      <c r="Z92" s="385">
        <f>IF('Data Entry'!$H$5="3.5% Declining",Z60*Z76,Z60/((1+Z$77)^Z$3))</f>
        <v>0</v>
      </c>
      <c r="AA92" s="385">
        <f>IF('Data Entry'!$H$5="3.5% Declining",AA60*AA76,AA60/((1+AA$77)^AA$3))</f>
        <v>0</v>
      </c>
      <c r="AB92" s="385">
        <f>IF('Data Entry'!$H$5="3.5% Declining",AB60*AB76,AB60/((1+AB$77)^AB$3))</f>
        <v>0</v>
      </c>
      <c r="AC92" s="385">
        <f>IF('Data Entry'!$H$5="3.5% Declining",AC60*AC76,AC60/((1+AC$77)^AC$3))</f>
        <v>0</v>
      </c>
      <c r="AD92" s="385">
        <f>IF('Data Entry'!$H$5="3.5% Declining",AD60*AD76,AD60/((1+AD$77)^AD$3))</f>
        <v>0</v>
      </c>
      <c r="AE92" s="385">
        <f>IF('Data Entry'!$H$5="3.5% Declining",AE60*AE76,AE60/((1+AE$77)^AE$3))</f>
        <v>0</v>
      </c>
      <c r="AF92" s="385">
        <f>IF('Data Entry'!$H$5="3.5% Declining",AF60*AF76,AF60/((1+AF$77)^AF$3))</f>
        <v>0</v>
      </c>
      <c r="AG92" s="385">
        <f>IF('Data Entry'!$H$5="3.5% Declining",AG60*AG76,AG60/((1+AG$77)^AG$3))</f>
        <v>0</v>
      </c>
      <c r="AH92" s="385">
        <f>IF('Data Entry'!$H$5="3.5% Declining",AH60*AH76,AH60/((1+AH$77)^AH$3))</f>
        <v>0</v>
      </c>
      <c r="AI92" s="385">
        <f>IF('Data Entry'!$H$5="3.5% Declining",AI60*AI76,AI60/((1+AI$77)^AI$3))</f>
        <v>0</v>
      </c>
      <c r="AJ92" s="385">
        <f>IF('Data Entry'!$H$5="3.5% Declining",AJ60*AJ76,AJ60/((1+AJ$77)^AJ$3))</f>
        <v>0</v>
      </c>
      <c r="AK92" s="385">
        <f>IF('Data Entry'!$H$5="3.5% Declining",AK60*AK76,AK60/((1+AK$77)^AK$3))</f>
        <v>0</v>
      </c>
      <c r="AL92" s="385">
        <f>IF('Data Entry'!$H$5="3.5% Declining",AL60*AL76,AL60/((1+AL$77)^AL$3))</f>
        <v>0</v>
      </c>
      <c r="AM92" s="385">
        <f>IF('Data Entry'!$H$5="3.5% Declining",AM60*AM76,AM60/((1+AM$77)^AM$3))</f>
        <v>0</v>
      </c>
      <c r="AN92" s="385">
        <f>IF('Data Entry'!$H$5="3.5% Declining",AN60*AN76,AN60/((1+AN$77)^AN$3))</f>
        <v>0</v>
      </c>
      <c r="AO92" s="560">
        <f>IF('Data Entry'!$H$5="3.5% Declining",AO60*AO76,AO60/((1+AO$77)^AO$3))</f>
        <v>0</v>
      </c>
      <c r="AP92" s="385">
        <f>IF('Data Entry'!$H$5="3.5% Declining",AP60*AP76,AP60/((1+AP$77)^AP$3))</f>
        <v>0</v>
      </c>
      <c r="AQ92" s="385">
        <f>IF('Data Entry'!$H$5="3.5% Declining",AQ60*AQ76,AQ60/((1+AQ$77)^AQ$3))</f>
        <v>0</v>
      </c>
      <c r="AR92" s="385">
        <f>IF('Data Entry'!$H$5="3.5% Declining",AR60*AR76,AR60/((1+AR$77)^AR$3))</f>
        <v>0</v>
      </c>
      <c r="AS92" s="385">
        <f>IF('Data Entry'!$H$5="3.5% Declining",AS60*AS76,AS60/((1+AS$77)^AS$3))</f>
        <v>0</v>
      </c>
      <c r="AT92" s="385">
        <f>IF('Data Entry'!$H$5="3.5% Declining",AT60*AT76,AT60/((1+AT$77)^AT$3))</f>
        <v>0</v>
      </c>
      <c r="AU92" s="385">
        <f>IF('Data Entry'!$H$5="3.5% Declining",AU60*AU76,AU60/((1+AU$77)^AU$3))</f>
        <v>0</v>
      </c>
      <c r="AV92" s="385">
        <f>IF('Data Entry'!$H$5="3.5% Declining",AV60*AV76,AV60/((1+AV$77)^AV$3))</f>
        <v>0</v>
      </c>
      <c r="AW92" s="385">
        <f>IF('Data Entry'!$H$5="3.5% Declining",AW60*AW76,AW60/((1+AW$77)^AW$3))</f>
        <v>0</v>
      </c>
      <c r="AX92" s="385">
        <f>IF('Data Entry'!$H$5="3.5% Declining",AX60*AX76,AX60/((1+AX$77)^AX$3))</f>
        <v>0</v>
      </c>
      <c r="AY92" s="385">
        <f>IF('Data Entry'!$H$5="3.5% Declining",AY60*AY76,AY60/((1+AY$77)^AY$3))</f>
        <v>0</v>
      </c>
      <c r="AZ92" s="385">
        <f>IF('Data Entry'!$H$5="3.5% Declining",AZ60*AZ76,AZ60/((1+AZ$77)^AZ$3))</f>
        <v>0</v>
      </c>
      <c r="BA92" s="385">
        <f>IF('Data Entry'!$H$5="3.5% Declining",BA60*BA76,BA60/((1+BA$77)^BA$3))</f>
        <v>0</v>
      </c>
      <c r="BB92" s="385">
        <f>IF('Data Entry'!$H$5="3.5% Declining",BB60*BB76,BB60/((1+BB$77)^BB$3))</f>
        <v>0</v>
      </c>
      <c r="BC92" s="385">
        <f>IF('Data Entry'!$H$5="3.5% Declining",BC60*BC76,BC60/((1+BC$77)^BC$3))</f>
        <v>0</v>
      </c>
      <c r="BD92" s="385">
        <f>IF('Data Entry'!$H$5="3.5% Declining",BD60*BD76,BD60/((1+BD$77)^BD$3))</f>
        <v>0</v>
      </c>
      <c r="BE92" s="385">
        <f>IF('Data Entry'!$H$5="3.5% Declining",BE60*BE76,BE60/((1+BE$77)^BE$3))</f>
        <v>0</v>
      </c>
      <c r="BF92" s="385">
        <f>IF('Data Entry'!$H$5="3.5% Declining",BF60*BF76,BF60/((1+BF$77)^BF$3))</f>
        <v>0</v>
      </c>
      <c r="BG92" s="385">
        <f>IF('Data Entry'!$H$5="3.5% Declining",BG60*BG76,BG60/((1+BG$77)^BG$3))</f>
        <v>0</v>
      </c>
      <c r="BH92" s="385">
        <f>IF('Data Entry'!$H$5="3.5% Declining",BH60*BH76,BH60/((1+BH$77)^BH$3))</f>
        <v>0</v>
      </c>
      <c r="BI92" s="385">
        <f>IF('Data Entry'!$H$5="3.5% Declining",BI60*BI76,BI60/((1+BI$77)^BI$3))</f>
        <v>0</v>
      </c>
      <c r="BJ92" s="385">
        <f>IF('Data Entry'!$H$5="3.5% Declining",BJ60*BJ76,BJ60/((1+BJ$77)^BJ$3))</f>
        <v>0</v>
      </c>
      <c r="BK92" s="560">
        <f>IF('Data Entry'!$H$5="3.5% Declining",BK60*BK76,BK60/((1+BK$77)^BK$3))</f>
        <v>0</v>
      </c>
      <c r="BL92" s="385">
        <f>IF('Data Entry'!$H$5="3.5% Declining",BL60*BL76,BL60/((1+BL$77)^BL$3))</f>
        <v>0</v>
      </c>
      <c r="BM92" s="385">
        <f>IF('Data Entry'!$H$5="3.5% Declining",BM60*BM76,BM60/((1+BM$77)^BM$3))</f>
        <v>0</v>
      </c>
      <c r="BN92" s="385">
        <f>IF('Data Entry'!$H$5="3.5% Declining",BN60*BN76,BN60/((1+BN$77)^BN$3))</f>
        <v>0</v>
      </c>
      <c r="BO92" s="385">
        <f>IF('Data Entry'!$H$5="3.5% Declining",BO60*BO76,BO60/((1+BO$77)^BO$3))</f>
        <v>0</v>
      </c>
      <c r="BP92" s="385">
        <f>IF('Data Entry'!$H$5="3.5% Declining",BP60*BP76,BP60/((1+BP$77)^BP$3))</f>
        <v>0</v>
      </c>
      <c r="BQ92" s="385">
        <f>IF('Data Entry'!$H$5="3.5% Declining",BQ60*BQ76,BQ60/((1+BQ$77)^BQ$3))</f>
        <v>0</v>
      </c>
      <c r="BR92" s="385">
        <f>IF('Data Entry'!$H$5="3.5% Declining",BR60*BR76,BR60/((1+BR$77)^BR$3))</f>
        <v>0</v>
      </c>
      <c r="BS92" s="385">
        <f>IF('Data Entry'!$H$5="3.5% Declining",BS60*BS76,BS60/((1+BS$77)^BS$3))</f>
        <v>0</v>
      </c>
      <c r="BT92" s="385">
        <f>IF('Data Entry'!$H$5="3.5% Declining",BT60*BT76,BT60/((1+BT$77)^BT$3))</f>
        <v>0</v>
      </c>
      <c r="BU92" s="385">
        <f>IF('Data Entry'!$H$5="3.5% Declining",BU60*BU76,BU60/((1+BU$77)^BU$3))</f>
        <v>0</v>
      </c>
      <c r="BV92" s="385">
        <f>IF('Data Entry'!$H$5="3.5% Declining",BV60*BV76,BV60/((1+BV$77)^BV$3))</f>
        <v>0</v>
      </c>
      <c r="BW92" s="385">
        <f>IF('Data Entry'!$H$5="3.5% Declining",BW60*BW76,BW60/((1+BW$77)^BW$3))</f>
        <v>0</v>
      </c>
      <c r="BX92" s="385">
        <f>IF('Data Entry'!$H$5="3.5% Declining",BX60*BX76,BX60/((1+BX$77)^BX$3))</f>
        <v>0</v>
      </c>
      <c r="BY92" s="385">
        <f>IF('Data Entry'!$H$5="3.5% Declining",BY60*BY76,BY60/((1+BY$77)^BY$3))</f>
        <v>0</v>
      </c>
      <c r="BZ92" s="385">
        <f>IF('Data Entry'!$H$5="3.5% Declining",BZ60*BZ76,BZ60/((1+BZ$77)^BZ$3))</f>
        <v>0</v>
      </c>
      <c r="CA92" s="560">
        <f>IF('Data Entry'!$H$5="3.5% Declining",CA60*CA76,CA60/((1+CA$77)^CA$3))</f>
        <v>0</v>
      </c>
      <c r="CB92" s="385">
        <f>IF('Data Entry'!$H$5="3.5% Declining",CB60*CB76,CB60/((1+CB$77)^CB$3))</f>
        <v>0</v>
      </c>
      <c r="CC92" s="385">
        <f>IF('Data Entry'!$H$5="3.5% Declining",CC60*CC76,CC60/((1+CC$77)^CC$3))</f>
        <v>0</v>
      </c>
      <c r="CD92" s="385">
        <f>IF('Data Entry'!$H$5="3.5% Declining",CD60*CD76,CD60/((1+CD$77)^CD$3))</f>
        <v>0</v>
      </c>
      <c r="CE92" s="385">
        <f>IF('Data Entry'!$H$5="3.5% Declining",CE60*CE76,CE60/((1+CE$77)^CE$3))</f>
        <v>0</v>
      </c>
      <c r="CF92" s="385">
        <f>IF('Data Entry'!$H$5="3.5% Declining",CF60*CF76,CF60/((1+CF$77)^CF$3))</f>
        <v>0</v>
      </c>
      <c r="CG92" s="385">
        <f>IF('Data Entry'!$H$5="3.5% Declining",CG60*CG76,CG60/((1+CG$77)^CG$3))</f>
        <v>0</v>
      </c>
      <c r="CH92" s="385">
        <f>IF('Data Entry'!$H$5="3.5% Declining",CH60*CH76,CH60/((1+CH$77)^CH$3))</f>
        <v>0</v>
      </c>
      <c r="CI92" s="385">
        <f>IF('Data Entry'!$H$5="3.5% Declining",CI60*CI76,CI60/((1+CI$77)^CI$3))</f>
        <v>0</v>
      </c>
      <c r="CJ92" s="385">
        <f>IF('Data Entry'!$H$5="3.5% Declining",CJ60*CJ76,CJ60/((1+CJ$77)^CJ$3))</f>
        <v>0</v>
      </c>
      <c r="CK92" s="385">
        <f>IF('Data Entry'!$H$5="3.5% Declining",CK60*CK76,CK60/((1+CK$77)^CK$3))</f>
        <v>0</v>
      </c>
      <c r="CL92" s="385">
        <f>IF('Data Entry'!$H$5="3.5% Declining",CL60*CL76,CL60/((1+CL$77)^CL$3))</f>
        <v>0</v>
      </c>
      <c r="CM92" s="385">
        <f>IF('Data Entry'!$H$5="3.5% Declining",CM60*CM76,CM60/((1+CM$77)^CM$3))</f>
        <v>0</v>
      </c>
      <c r="CN92" s="385">
        <f>IF('Data Entry'!$H$5="3.5% Declining",CN60*CN76,CN60/((1+CN$77)^CN$3))</f>
        <v>0</v>
      </c>
      <c r="CO92" s="385">
        <f>IF('Data Entry'!$H$5="3.5% Declining",CO60*CO76,CO60/((1+CO$77)^CO$3))</f>
        <v>0</v>
      </c>
      <c r="CP92" s="385">
        <f>IF('Data Entry'!$H$5="3.5% Declining",CP60*CP76,CP60/((1+CP$77)^CP$3))</f>
        <v>0</v>
      </c>
      <c r="CQ92" s="385">
        <f>IF('Data Entry'!$H$5="3.5% Declining",CQ60*CQ76,CQ60/((1+CQ$77)^CQ$3))</f>
        <v>0</v>
      </c>
      <c r="CR92" s="385">
        <f>IF('Data Entry'!$H$5="3.5% Declining",CR60*CR76,CR60/((1+CR$77)^CR$3))</f>
        <v>0</v>
      </c>
      <c r="CS92" s="385">
        <f>IF('Data Entry'!$H$5="3.5% Declining",CS60*CS76,CS60/((1+CS$77)^CS$3))</f>
        <v>0</v>
      </c>
      <c r="CT92" s="385">
        <f>IF('Data Entry'!$H$5="3.5% Declining",CT60*CT76,CT60/((1+CT$77)^CT$3))</f>
        <v>0</v>
      </c>
      <c r="CU92" s="385">
        <f>IF('Data Entry'!$H$5="3.5% Declining",CU60*CU76,CU60/((1+CU$77)^CU$3))</f>
        <v>0</v>
      </c>
      <c r="CV92" s="385">
        <f>IF('Data Entry'!$H$5="3.5% Declining",CV60*CV76,CV60/((1+CV$77)^CV$3))</f>
        <v>0</v>
      </c>
      <c r="CW92" s="385">
        <f>IF('Data Entry'!$H$5="3.5% Declining",CW60*CW76,CW60/((1+CW$77)^CW$3))</f>
        <v>0</v>
      </c>
      <c r="CX92" s="385">
        <f>IF('Data Entry'!$H$5="3.5% Declining",CX60*CX76,CX60/((1+CX$77)^CX$3))</f>
        <v>0</v>
      </c>
      <c r="CY92" s="567">
        <f>IF('Data Entry'!$H$5="3.5% Declining",CY60*CY76,CY60/((1+CY$77)^CY$3))</f>
        <v>0</v>
      </c>
    </row>
    <row r="93" spans="1:103" ht="15" customHeight="1" x14ac:dyDescent="0.3">
      <c r="A93" s="763" t="s">
        <v>49</v>
      </c>
      <c r="B93" s="764"/>
      <c r="C93" s="757">
        <f t="shared" si="43"/>
        <v>0</v>
      </c>
      <c r="D93" s="383">
        <f>IF('Data Entry'!$H$5="3.5% Declining",D69*D76,D69/((1+D77)^D3))</f>
        <v>0</v>
      </c>
      <c r="E93" s="383">
        <f>IF('Data Entry'!$H$5="3.5% Declining",E69*E76,E69/((1+E77)^E3))</f>
        <v>0</v>
      </c>
      <c r="F93" s="383">
        <f>IF('Data Entry'!$H$5="3.5% Declining",F69*F76,F69/((1+F77)^F3))</f>
        <v>0</v>
      </c>
      <c r="G93" s="383">
        <f>IF('Data Entry'!$H$5="3.5% Declining",G69*G76,G69/((1+G77)^G3))</f>
        <v>0</v>
      </c>
      <c r="H93" s="383">
        <f>IF('Data Entry'!$H$5="3.5% Declining",H69*H76,H69/((1+H77)^H3))</f>
        <v>0</v>
      </c>
      <c r="I93" s="383">
        <f>IF('Data Entry'!$H$5="3.5% Declining",I69*I76,I69/((1+I77)^I3))</f>
        <v>0</v>
      </c>
      <c r="J93" s="383">
        <f>IF('Data Entry'!$H$5="3.5% Declining",J69*J76,J69/((1+J77)^J3))</f>
        <v>0</v>
      </c>
      <c r="K93" s="383">
        <f>IF('Data Entry'!$H$5="3.5% Declining",K69*K76,K69/((1+K77)^K3))</f>
        <v>0</v>
      </c>
      <c r="L93" s="383">
        <f>IF('Data Entry'!$H$5="3.5% Declining",L69*L76,L69/((1+L77)^L3))</f>
        <v>0</v>
      </c>
      <c r="M93" s="383">
        <f>IF('Data Entry'!$H$5="3.5% Declining",M69*M76,M69/((1+M77)^M3))</f>
        <v>0</v>
      </c>
      <c r="N93" s="383">
        <f>IF('Data Entry'!$H$5="3.5% Declining",N69*N76,N69/((1+N77)^N3))</f>
        <v>0</v>
      </c>
      <c r="O93" s="383">
        <f>IF('Data Entry'!$H$5="3.5% Declining",O69*O76,O69/((1+O77)^O3))</f>
        <v>0</v>
      </c>
      <c r="P93" s="383">
        <f>IF('Data Entry'!$H$5="3.5% Declining",P69*P76,P69/((1+P77)^P3))</f>
        <v>0</v>
      </c>
      <c r="Q93" s="383">
        <f>IF('Data Entry'!$H$5="3.5% Declining",Q69*Q76,Q69/((1+Q77)^Q3))</f>
        <v>0</v>
      </c>
      <c r="R93" s="383">
        <f>IF('Data Entry'!$H$5="3.5% Declining",R69*R76,R69/((1+R77)^R3))</f>
        <v>0</v>
      </c>
      <c r="S93" s="383">
        <f>IF('Data Entry'!$H$5="3.5% Declining",S69*S76,S69/((1+S77)^S3))</f>
        <v>0</v>
      </c>
      <c r="T93" s="383">
        <f>IF('Data Entry'!$H$5="3.5% Declining",T69*T76,T69/((1+T77)^T3))</f>
        <v>0</v>
      </c>
      <c r="U93" s="383">
        <f>IF('Data Entry'!$H$5="3.5% Declining",U69*U76,U69/((1+U77)^U3))</f>
        <v>0</v>
      </c>
      <c r="V93" s="383">
        <f>IF('Data Entry'!$H$5="3.5% Declining",V69*V76,V69/((1+V77)^V3))</f>
        <v>0</v>
      </c>
      <c r="W93" s="383">
        <f>IF('Data Entry'!$H$5="3.5% Declining",W69*W76,W69/((1+W77)^W3))</f>
        <v>0</v>
      </c>
      <c r="X93" s="383">
        <f>IF('Data Entry'!$H$5="3.5% Declining",X69*X76,X69/((1+X77)^X3))</f>
        <v>0</v>
      </c>
      <c r="Y93" s="383">
        <f>IF('Data Entry'!$H$5="3.5% Declining",Y69*Y76,Y69/((1+Y77)^Y3))</f>
        <v>0</v>
      </c>
      <c r="Z93" s="383">
        <f>IF('Data Entry'!$H$5="3.5% Declining",Z69*Z76,Z69/((1+Z77)^Z3))</f>
        <v>0</v>
      </c>
      <c r="AA93" s="383">
        <f>IF('Data Entry'!$H$5="3.5% Declining",AA69*AA76,AA69/((1+AA77)^AA3))</f>
        <v>0</v>
      </c>
      <c r="AB93" s="383">
        <f>IF('Data Entry'!$H$5="3.5% Declining",AB69*AB76,AB69/((1+AB77)^AB3))</f>
        <v>0</v>
      </c>
      <c r="AC93" s="383">
        <f>IF('Data Entry'!$H$5="3.5% Declining",AC69*AC76,AC69/((1+AC77)^AC3))</f>
        <v>0</v>
      </c>
      <c r="AD93" s="383">
        <f>IF('Data Entry'!$H$5="3.5% Declining",AD69*AD76,AD69/((1+AD77)^AD3))</f>
        <v>0</v>
      </c>
      <c r="AE93" s="383">
        <f>IF('Data Entry'!$H$5="3.5% Declining",AE69*AE76,AE69/((1+AE77)^AE3))</f>
        <v>0</v>
      </c>
      <c r="AF93" s="383">
        <f>IF('Data Entry'!$H$5="3.5% Declining",AF69*AF76,AF69/((1+AF77)^AF3))</f>
        <v>0</v>
      </c>
      <c r="AG93" s="383">
        <f>IF('Data Entry'!$H$5="3.5% Declining",AG69*AG76,AG69/((1+AG77)^AG3))</f>
        <v>0</v>
      </c>
      <c r="AH93" s="383">
        <f>IF('Data Entry'!$H$5="3.5% Declining",AH69*AH76,AH69/((1+AH77)^AH3))</f>
        <v>0</v>
      </c>
      <c r="AI93" s="383">
        <f>IF('Data Entry'!$H$5="3.5% Declining",AI69*AI76,AI69/((1+AI77)^AI3))</f>
        <v>0</v>
      </c>
      <c r="AJ93" s="383">
        <f>IF('Data Entry'!$H$5="3.5% Declining",AJ69*AJ76,AJ69/((1+AJ77)^AJ3))</f>
        <v>0</v>
      </c>
      <c r="AK93" s="383">
        <f>IF('Data Entry'!$H$5="3.5% Declining",AK69*AK76,AK69/((1+AK77)^AK3))</f>
        <v>0</v>
      </c>
      <c r="AL93" s="383">
        <f>IF('Data Entry'!$H$5="3.5% Declining",AL69*AL76,AL69/((1+AL77)^AL3))</f>
        <v>0</v>
      </c>
      <c r="AM93" s="383">
        <f>IF('Data Entry'!$H$5="3.5% Declining",AM69*AM76,AM69/((1+AM77)^AM3))</f>
        <v>0</v>
      </c>
      <c r="AN93" s="383">
        <f>IF('Data Entry'!$H$5="3.5% Declining",AN69*AN76,AN69/((1+AN77)^AN3))</f>
        <v>0</v>
      </c>
      <c r="AO93" s="558">
        <f>IF('Data Entry'!$H$5="3.5% Declining",AO69*AO76,AO69/((1+AO77)^AO3))</f>
        <v>0</v>
      </c>
      <c r="AP93" s="383">
        <f>IF('Data Entry'!$H$5="3.5% Declining",AP69*AP76,AP69/((1+AP77)^AP3))</f>
        <v>0</v>
      </c>
      <c r="AQ93" s="383">
        <f>IF('Data Entry'!$H$5="3.5% Declining",AQ69*AQ76,AQ69/((1+AQ77)^AQ3))</f>
        <v>0</v>
      </c>
      <c r="AR93" s="383">
        <f>IF('Data Entry'!$H$5="3.5% Declining",AR69*AR76,AR69/((1+AR77)^AR3))</f>
        <v>0</v>
      </c>
      <c r="AS93" s="383">
        <f>IF('Data Entry'!$H$5="3.5% Declining",AS69*AS76,AS69/((1+AS77)^AS3))</f>
        <v>0</v>
      </c>
      <c r="AT93" s="383">
        <f>IF('Data Entry'!$H$5="3.5% Declining",AT69*AT76,AT69/((1+AT77)^AT3))</f>
        <v>0</v>
      </c>
      <c r="AU93" s="383">
        <f>IF('Data Entry'!$H$5="3.5% Declining",AU69*AU76,AU69/((1+AU77)^AU3))</f>
        <v>0</v>
      </c>
      <c r="AV93" s="383">
        <f>IF('Data Entry'!$H$5="3.5% Declining",AV69*AV76,AV69/((1+AV77)^AV3))</f>
        <v>0</v>
      </c>
      <c r="AW93" s="383">
        <f>IF('Data Entry'!$H$5="3.5% Declining",AW69*AW76,AW69/((1+AW77)^AW3))</f>
        <v>0</v>
      </c>
      <c r="AX93" s="383">
        <f>IF('Data Entry'!$H$5="3.5% Declining",AX69*AX76,AX69/((1+AX77)^AX3))</f>
        <v>0</v>
      </c>
      <c r="AY93" s="383">
        <f>IF('Data Entry'!$H$5="3.5% Declining",AY69*AY76,AY69/((1+AY77)^AY3))</f>
        <v>0</v>
      </c>
      <c r="AZ93" s="383">
        <f>IF('Data Entry'!$H$5="3.5% Declining",AZ69*AZ76,AZ69/((1+AZ77)^AZ3))</f>
        <v>0</v>
      </c>
      <c r="BA93" s="383">
        <f>IF('Data Entry'!$H$5="3.5% Declining",BA69*BA76,BA69/((1+BA77)^BA3))</f>
        <v>0</v>
      </c>
      <c r="BB93" s="383">
        <f>IF('Data Entry'!$H$5="3.5% Declining",BB69*BB76,BB69/((1+BB77)^BB3))</f>
        <v>0</v>
      </c>
      <c r="BC93" s="383">
        <f>IF('Data Entry'!$H$5="3.5% Declining",BC69*BC76,BC69/((1+BC77)^BC3))</f>
        <v>0</v>
      </c>
      <c r="BD93" s="383">
        <f>IF('Data Entry'!$H$5="3.5% Declining",BD69*BD76,BD69/((1+BD77)^BD3))</f>
        <v>0</v>
      </c>
      <c r="BE93" s="383">
        <f>IF('Data Entry'!$H$5="3.5% Declining",BE69*BE76,BE69/((1+BE77)^BE3))</f>
        <v>0</v>
      </c>
      <c r="BF93" s="383">
        <f>IF('Data Entry'!$H$5="3.5% Declining",BF69*BF76,BF69/((1+BF77)^BF3))</f>
        <v>0</v>
      </c>
      <c r="BG93" s="383">
        <f>IF('Data Entry'!$H$5="3.5% Declining",BG69*BG76,BG69/((1+BG77)^BG3))</f>
        <v>0</v>
      </c>
      <c r="BH93" s="383">
        <f>IF('Data Entry'!$H$5="3.5% Declining",BH69*BH76,BH69/((1+BH77)^BH3))</f>
        <v>0</v>
      </c>
      <c r="BI93" s="383">
        <f>IF('Data Entry'!$H$5="3.5% Declining",BI69*BI76,BI69/((1+BI77)^BI3))</f>
        <v>0</v>
      </c>
      <c r="BJ93" s="383">
        <f>IF('Data Entry'!$H$5="3.5% Declining",BJ69*BJ76,BJ69/((1+BJ77)^BJ3))</f>
        <v>0</v>
      </c>
      <c r="BK93" s="558">
        <f>IF('Data Entry'!$H$5="3.5% Declining",BK69*BK76,BK69/((1+BK77)^BK3))</f>
        <v>0</v>
      </c>
      <c r="BL93" s="383">
        <f>IF('Data Entry'!$H$5="3.5% Declining",BL69*BL76,BL69/((1+BL77)^BL3))</f>
        <v>0</v>
      </c>
      <c r="BM93" s="383">
        <f>IF('Data Entry'!$H$5="3.5% Declining",BM69*BM76,BM69/((1+BM77)^BM3))</f>
        <v>0</v>
      </c>
      <c r="BN93" s="383">
        <f>IF('Data Entry'!$H$5="3.5% Declining",BN69*BN76,BN69/((1+BN77)^BN3))</f>
        <v>0</v>
      </c>
      <c r="BO93" s="383">
        <f>IF('Data Entry'!$H$5="3.5% Declining",BO69*BO76,BO69/((1+BO77)^BO3))</f>
        <v>0</v>
      </c>
      <c r="BP93" s="383">
        <f>IF('Data Entry'!$H$5="3.5% Declining",BP69*BP76,BP69/((1+BP77)^BP3))</f>
        <v>0</v>
      </c>
      <c r="BQ93" s="383">
        <f>IF('Data Entry'!$H$5="3.5% Declining",BQ69*BQ76,BQ69/((1+BQ77)^BQ3))</f>
        <v>0</v>
      </c>
      <c r="BR93" s="383">
        <f>IF('Data Entry'!$H$5="3.5% Declining",BR69*BR76,BR69/((1+BR77)^BR3))</f>
        <v>0</v>
      </c>
      <c r="BS93" s="383">
        <f>IF('Data Entry'!$H$5="3.5% Declining",BS69*BS76,BS69/((1+BS77)^BS3))</f>
        <v>0</v>
      </c>
      <c r="BT93" s="383">
        <f>IF('Data Entry'!$H$5="3.5% Declining",BT69*BT76,BT69/((1+BT77)^BT3))</f>
        <v>0</v>
      </c>
      <c r="BU93" s="383">
        <f>IF('Data Entry'!$H$5="3.5% Declining",BU69*BU76,BU69/((1+BU77)^BU3))</f>
        <v>0</v>
      </c>
      <c r="BV93" s="383">
        <f>IF('Data Entry'!$H$5="3.5% Declining",BV69*BV76,BV69/((1+BV77)^BV3))</f>
        <v>0</v>
      </c>
      <c r="BW93" s="383">
        <f>IF('Data Entry'!$H$5="3.5% Declining",BW69*BW76,BW69/((1+BW77)^BW3))</f>
        <v>0</v>
      </c>
      <c r="BX93" s="383">
        <f>IF('Data Entry'!$H$5="3.5% Declining",BX69*BX76,BX69/((1+BX77)^BX3))</f>
        <v>0</v>
      </c>
      <c r="BY93" s="383">
        <f>IF('Data Entry'!$H$5="3.5% Declining",BY69*BY76,BY69/((1+BY77)^BY3))</f>
        <v>0</v>
      </c>
      <c r="BZ93" s="383">
        <f>IF('Data Entry'!$H$5="3.5% Declining",BZ69*BZ76,BZ69/((1+BZ77)^BZ3))</f>
        <v>0</v>
      </c>
      <c r="CA93" s="558">
        <f>IF('Data Entry'!$H$5="3.5% Declining",CA69*CA76,CA69/((1+CA77)^CA3))</f>
        <v>0</v>
      </c>
      <c r="CB93" s="383">
        <f>IF('Data Entry'!$H$5="3.5% Declining",CB69*CB76,CB69/((1+CB77)^CB3))</f>
        <v>0</v>
      </c>
      <c r="CC93" s="383">
        <f>IF('Data Entry'!$H$5="3.5% Declining",CC69*CC76,CC69/((1+CC77)^CC3))</f>
        <v>0</v>
      </c>
      <c r="CD93" s="383">
        <f>IF('Data Entry'!$H$5="3.5% Declining",CD69*CD76,CD69/((1+CD77)^CD3))</f>
        <v>0</v>
      </c>
      <c r="CE93" s="383">
        <f>IF('Data Entry'!$H$5="3.5% Declining",CE69*CE76,CE69/((1+CE77)^CE3))</f>
        <v>0</v>
      </c>
      <c r="CF93" s="383">
        <f>IF('Data Entry'!$H$5="3.5% Declining",CF69*CF76,CF69/((1+CF77)^CF3))</f>
        <v>0</v>
      </c>
      <c r="CG93" s="383">
        <f>IF('Data Entry'!$H$5="3.5% Declining",CG69*CG76,CG69/((1+CG77)^CG3))</f>
        <v>0</v>
      </c>
      <c r="CH93" s="383">
        <f>IF('Data Entry'!$H$5="3.5% Declining",CH69*CH76,CH69/((1+CH77)^CH3))</f>
        <v>0</v>
      </c>
      <c r="CI93" s="383">
        <f>IF('Data Entry'!$H$5="3.5% Declining",CI69*CI76,CI69/((1+CI77)^CI3))</f>
        <v>0</v>
      </c>
      <c r="CJ93" s="383">
        <f>IF('Data Entry'!$H$5="3.5% Declining",CJ69*CJ76,CJ69/((1+CJ77)^CJ3))</f>
        <v>0</v>
      </c>
      <c r="CK93" s="383">
        <f>IF('Data Entry'!$H$5="3.5% Declining",CK69*CK76,CK69/((1+CK77)^CK3))</f>
        <v>0</v>
      </c>
      <c r="CL93" s="383">
        <f>IF('Data Entry'!$H$5="3.5% Declining",CL69*CL76,CL69/((1+CL77)^CL3))</f>
        <v>0</v>
      </c>
      <c r="CM93" s="383">
        <f>IF('Data Entry'!$H$5="3.5% Declining",CM69*CM76,CM69/((1+CM77)^CM3))</f>
        <v>0</v>
      </c>
      <c r="CN93" s="383">
        <f>IF('Data Entry'!$H$5="3.5% Declining",CN69*CN76,CN69/((1+CN77)^CN3))</f>
        <v>0</v>
      </c>
      <c r="CO93" s="383">
        <f>IF('Data Entry'!$H$5="3.5% Declining",CO69*CO76,CO69/((1+CO77)^CO3))</f>
        <v>0</v>
      </c>
      <c r="CP93" s="383">
        <f>IF('Data Entry'!$H$5="3.5% Declining",CP69*CP76,CP69/((1+CP77)^CP3))</f>
        <v>0</v>
      </c>
      <c r="CQ93" s="383">
        <f>IF('Data Entry'!$H$5="3.5% Declining",CQ69*CQ76,CQ69/((1+CQ77)^CQ3))</f>
        <v>0</v>
      </c>
      <c r="CR93" s="383">
        <f>IF('Data Entry'!$H$5="3.5% Declining",CR69*CR76,CR69/((1+CR77)^CR3))</f>
        <v>0</v>
      </c>
      <c r="CS93" s="383">
        <f>IF('Data Entry'!$H$5="3.5% Declining",CS69*CS76,CS69/((1+CS77)^CS3))</f>
        <v>0</v>
      </c>
      <c r="CT93" s="383">
        <f>IF('Data Entry'!$H$5="3.5% Declining",CT69*CT76,CT69/((1+CT77)^CT3))</f>
        <v>0</v>
      </c>
      <c r="CU93" s="383">
        <f>IF('Data Entry'!$H$5="3.5% Declining",CU69*CU76,CU69/((1+CU77)^CU3))</f>
        <v>0</v>
      </c>
      <c r="CV93" s="383">
        <f>IF('Data Entry'!$H$5="3.5% Declining",CV69*CV76,CV69/((1+CV77)^CV3))</f>
        <v>0</v>
      </c>
      <c r="CW93" s="383">
        <f>IF('Data Entry'!$H$5="3.5% Declining",CW69*CW76,CW69/((1+CW77)^CW3))</f>
        <v>0</v>
      </c>
      <c r="CX93" s="383">
        <f>IF('Data Entry'!$H$5="3.5% Declining",CX69*CX76,CX69/((1+CX77)^CX3))</f>
        <v>0</v>
      </c>
      <c r="CY93" s="565">
        <f>IF('Data Entry'!$H$5="3.5% Declining",CY69*CY76,CY69/((1+CY77)^CY3))</f>
        <v>0</v>
      </c>
    </row>
    <row r="94" spans="1:103" ht="15" customHeight="1" thickBot="1" x14ac:dyDescent="0.35">
      <c r="A94" s="765" t="s">
        <v>50</v>
      </c>
      <c r="B94" s="766"/>
      <c r="C94" s="762">
        <f t="shared" si="43"/>
        <v>0</v>
      </c>
      <c r="D94" s="385">
        <f>IF('Data Entry'!$H$5="3.5% Declining",D70*D76,D70/((1+D77)^D3))</f>
        <v>0</v>
      </c>
      <c r="E94" s="385">
        <f>IF('Data Entry'!$H$5="3.5% Declining",E70*E76,E70/((1+E77)^E3))</f>
        <v>0</v>
      </c>
      <c r="F94" s="385">
        <f>IF('Data Entry'!$H$5="3.5% Declining",F70*F76,F70/((1+F77)^F3))</f>
        <v>0</v>
      </c>
      <c r="G94" s="385">
        <f>IF('Data Entry'!$H$5="3.5% Declining",G70*G76,G70/((1+G77)^G3))</f>
        <v>0</v>
      </c>
      <c r="H94" s="385">
        <f>IF('Data Entry'!$H$5="3.5% Declining",H70*H76,H70/((1+H77)^H3))</f>
        <v>0</v>
      </c>
      <c r="I94" s="385">
        <f>IF('Data Entry'!$H$5="3.5% Declining",I70*I76,I70/((1+I77)^I3))</f>
        <v>0</v>
      </c>
      <c r="J94" s="385">
        <f>IF('Data Entry'!$H$5="3.5% Declining",J70*J76,J70/((1+J77)^J3))</f>
        <v>0</v>
      </c>
      <c r="K94" s="385">
        <f>IF('Data Entry'!$H$5="3.5% Declining",K70*K76,K70/((1+K77)^K3))</f>
        <v>0</v>
      </c>
      <c r="L94" s="385">
        <f>IF('Data Entry'!$H$5="3.5% Declining",L70*L76,L70/((1+L77)^L3))</f>
        <v>0</v>
      </c>
      <c r="M94" s="385">
        <f>IF('Data Entry'!$H$5="3.5% Declining",M70*M76,M70/((1+M77)^M3))</f>
        <v>0</v>
      </c>
      <c r="N94" s="385">
        <f>IF('Data Entry'!$H$5="3.5% Declining",N70*N76,N70/((1+N77)^N3))</f>
        <v>0</v>
      </c>
      <c r="O94" s="385">
        <f>IF('Data Entry'!$H$5="3.5% Declining",O70*O76,O70/((1+O77)^O3))</f>
        <v>0</v>
      </c>
      <c r="P94" s="385">
        <f>IF('Data Entry'!$H$5="3.5% Declining",P70*P76,P70/((1+P77)^P3))</f>
        <v>0</v>
      </c>
      <c r="Q94" s="385">
        <f>IF('Data Entry'!$H$5="3.5% Declining",Q70*Q76,Q70/((1+Q77)^Q3))</f>
        <v>0</v>
      </c>
      <c r="R94" s="385">
        <f>IF('Data Entry'!$H$5="3.5% Declining",R70*R76,R70/((1+R77)^R3))</f>
        <v>0</v>
      </c>
      <c r="S94" s="385">
        <f>IF('Data Entry'!$H$5="3.5% Declining",S70*S76,S70/((1+S77)^S3))</f>
        <v>0</v>
      </c>
      <c r="T94" s="385">
        <f>IF('Data Entry'!$H$5="3.5% Declining",T70*T76,T70/((1+T77)^T3))</f>
        <v>0</v>
      </c>
      <c r="U94" s="385">
        <f>IF('Data Entry'!$H$5="3.5% Declining",U70*U76,U70/((1+U77)^U3))</f>
        <v>0</v>
      </c>
      <c r="V94" s="385">
        <f>IF('Data Entry'!$H$5="3.5% Declining",V70*V76,V70/((1+V77)^V3))</f>
        <v>0</v>
      </c>
      <c r="W94" s="385">
        <f>IF('Data Entry'!$H$5="3.5% Declining",W70*W76,W70/((1+W77)^W3))</f>
        <v>0</v>
      </c>
      <c r="X94" s="385">
        <f>IF('Data Entry'!$H$5="3.5% Declining",X70*X76,X70/((1+X77)^X3))</f>
        <v>0</v>
      </c>
      <c r="Y94" s="385">
        <f>IF('Data Entry'!$H$5="3.5% Declining",Y70*Y76,Y70/((1+Y77)^Y3))</f>
        <v>0</v>
      </c>
      <c r="Z94" s="385">
        <f>IF('Data Entry'!$H$5="3.5% Declining",Z70*Z76,Z70/((1+Z77)^Z3))</f>
        <v>0</v>
      </c>
      <c r="AA94" s="385">
        <f>IF('Data Entry'!$H$5="3.5% Declining",AA70*AA76,AA70/((1+AA77)^AA3))</f>
        <v>0</v>
      </c>
      <c r="AB94" s="385">
        <f>IF('Data Entry'!$H$5="3.5% Declining",AB70*AB76,AB70/((1+AB77)^AB3))</f>
        <v>0</v>
      </c>
      <c r="AC94" s="385">
        <f>IF('Data Entry'!$H$5="3.5% Declining",AC70*AC76,AC70/((1+AC77)^AC3))</f>
        <v>0</v>
      </c>
      <c r="AD94" s="385">
        <f>IF('Data Entry'!$H$5="3.5% Declining",AD70*AD76,AD70/((1+AD77)^AD3))</f>
        <v>0</v>
      </c>
      <c r="AE94" s="385">
        <f>IF('Data Entry'!$H$5="3.5% Declining",AE70*AE76,AE70/((1+AE77)^AE3))</f>
        <v>0</v>
      </c>
      <c r="AF94" s="385">
        <f>IF('Data Entry'!$H$5="3.5% Declining",AF70*AF76,AF70/((1+AF77)^AF3))</f>
        <v>0</v>
      </c>
      <c r="AG94" s="385">
        <f>IF('Data Entry'!$H$5="3.5% Declining",AG70*AG76,AG70/((1+AG77)^AG3))</f>
        <v>0</v>
      </c>
      <c r="AH94" s="385">
        <f>IF('Data Entry'!$H$5="3.5% Declining",AH70*AH76,AH70/((1+AH77)^AH3))</f>
        <v>0</v>
      </c>
      <c r="AI94" s="385">
        <f>IF('Data Entry'!$H$5="3.5% Declining",AI70*AI76,AI70/((1+AI77)^AI3))</f>
        <v>0</v>
      </c>
      <c r="AJ94" s="385">
        <f>IF('Data Entry'!$H$5="3.5% Declining",AJ70*AJ76,AJ70/((1+AJ77)^AJ3))</f>
        <v>0</v>
      </c>
      <c r="AK94" s="385">
        <f>IF('Data Entry'!$H$5="3.5% Declining",AK70*AK76,AK70/((1+AK77)^AK3))</f>
        <v>0</v>
      </c>
      <c r="AL94" s="385">
        <f>IF('Data Entry'!$H$5="3.5% Declining",AL70*AL76,AL70/((1+AL77)^AL3))</f>
        <v>0</v>
      </c>
      <c r="AM94" s="385">
        <f>IF('Data Entry'!$H$5="3.5% Declining",AM70*AM76,AM70/((1+AM77)^AM3))</f>
        <v>0</v>
      </c>
      <c r="AN94" s="385">
        <f>IF('Data Entry'!$H$5="3.5% Declining",AN70*AN76,AN70/((1+AN77)^AN3))</f>
        <v>0</v>
      </c>
      <c r="AO94" s="560">
        <f>IF('Data Entry'!$H$5="3.5% Declining",AO70*AO76,AO70/((1+AO77)^AO3))</f>
        <v>0</v>
      </c>
      <c r="AP94" s="385">
        <f>IF('Data Entry'!$H$5="3.5% Declining",AP70*AP76,AP70/((1+AP77)^AP3))</f>
        <v>0</v>
      </c>
      <c r="AQ94" s="385">
        <f>IF('Data Entry'!$H$5="3.5% Declining",AQ70*AQ76,AQ70/((1+AQ77)^AQ3))</f>
        <v>0</v>
      </c>
      <c r="AR94" s="385">
        <f>IF('Data Entry'!$H$5="3.5% Declining",AR70*AR76,AR70/((1+AR77)^AR3))</f>
        <v>0</v>
      </c>
      <c r="AS94" s="385">
        <f>IF('Data Entry'!$H$5="3.5% Declining",AS70*AS76,AS70/((1+AS77)^AS3))</f>
        <v>0</v>
      </c>
      <c r="AT94" s="385">
        <f>IF('Data Entry'!$H$5="3.5% Declining",AT70*AT76,AT70/((1+AT77)^AT3))</f>
        <v>0</v>
      </c>
      <c r="AU94" s="385">
        <f>IF('Data Entry'!$H$5="3.5% Declining",AU70*AU76,AU70/((1+AU77)^AU3))</f>
        <v>0</v>
      </c>
      <c r="AV94" s="385">
        <f>IF('Data Entry'!$H$5="3.5% Declining",AV70*AV76,AV70/((1+AV77)^AV3))</f>
        <v>0</v>
      </c>
      <c r="AW94" s="385">
        <f>IF('Data Entry'!$H$5="3.5% Declining",AW70*AW76,AW70/((1+AW77)^AW3))</f>
        <v>0</v>
      </c>
      <c r="AX94" s="385">
        <f>IF('Data Entry'!$H$5="3.5% Declining",AX70*AX76,AX70/((1+AX77)^AX3))</f>
        <v>0</v>
      </c>
      <c r="AY94" s="385">
        <f>IF('Data Entry'!$H$5="3.5% Declining",AY70*AY76,AY70/((1+AY77)^AY3))</f>
        <v>0</v>
      </c>
      <c r="AZ94" s="385">
        <f>IF('Data Entry'!$H$5="3.5% Declining",AZ70*AZ76,AZ70/((1+AZ77)^AZ3))</f>
        <v>0</v>
      </c>
      <c r="BA94" s="385">
        <f>IF('Data Entry'!$H$5="3.5% Declining",BA70*BA76,BA70/((1+BA77)^BA3))</f>
        <v>0</v>
      </c>
      <c r="BB94" s="385">
        <f>IF('Data Entry'!$H$5="3.5% Declining",BB70*BB76,BB70/((1+BB77)^BB3))</f>
        <v>0</v>
      </c>
      <c r="BC94" s="385">
        <f>IF('Data Entry'!$H$5="3.5% Declining",BC70*BC76,BC70/((1+BC77)^BC3))</f>
        <v>0</v>
      </c>
      <c r="BD94" s="385">
        <f>IF('Data Entry'!$H$5="3.5% Declining",BD70*BD76,BD70/((1+BD77)^BD3))</f>
        <v>0</v>
      </c>
      <c r="BE94" s="385">
        <f>IF('Data Entry'!$H$5="3.5% Declining",BE70*BE76,BE70/((1+BE77)^BE3))</f>
        <v>0</v>
      </c>
      <c r="BF94" s="385">
        <f>IF('Data Entry'!$H$5="3.5% Declining",BF70*BF76,BF70/((1+BF77)^BF3))</f>
        <v>0</v>
      </c>
      <c r="BG94" s="385">
        <f>IF('Data Entry'!$H$5="3.5% Declining",BG70*BG76,BG70/((1+BG77)^BG3))</f>
        <v>0</v>
      </c>
      <c r="BH94" s="385">
        <f>IF('Data Entry'!$H$5="3.5% Declining",BH70*BH76,BH70/((1+BH77)^BH3))</f>
        <v>0</v>
      </c>
      <c r="BI94" s="385">
        <f>IF('Data Entry'!$H$5="3.5% Declining",BI70*BI76,BI70/((1+BI77)^BI3))</f>
        <v>0</v>
      </c>
      <c r="BJ94" s="385">
        <f>IF('Data Entry'!$H$5="3.5% Declining",BJ70*BJ76,BJ70/((1+BJ77)^BJ3))</f>
        <v>0</v>
      </c>
      <c r="BK94" s="560">
        <f>IF('Data Entry'!$H$5="3.5% Declining",BK70*BK76,BK70/((1+BK77)^BK3))</f>
        <v>0</v>
      </c>
      <c r="BL94" s="385">
        <f>IF('Data Entry'!$H$5="3.5% Declining",BL70*BL76,BL70/((1+BL77)^BL3))</f>
        <v>0</v>
      </c>
      <c r="BM94" s="385">
        <f>IF('Data Entry'!$H$5="3.5% Declining",BM70*BM76,BM70/((1+BM77)^BM3))</f>
        <v>0</v>
      </c>
      <c r="BN94" s="385">
        <f>IF('Data Entry'!$H$5="3.5% Declining",BN70*BN76,BN70/((1+BN77)^BN3))</f>
        <v>0</v>
      </c>
      <c r="BO94" s="385">
        <f>IF('Data Entry'!$H$5="3.5% Declining",BO70*BO76,BO70/((1+BO77)^BO3))</f>
        <v>0</v>
      </c>
      <c r="BP94" s="385">
        <f>IF('Data Entry'!$H$5="3.5% Declining",BP70*BP76,BP70/((1+BP77)^BP3))</f>
        <v>0</v>
      </c>
      <c r="BQ94" s="385">
        <f>IF('Data Entry'!$H$5="3.5% Declining",BQ70*BQ76,BQ70/((1+BQ77)^BQ3))</f>
        <v>0</v>
      </c>
      <c r="BR94" s="385">
        <f>IF('Data Entry'!$H$5="3.5% Declining",BR70*BR76,BR70/((1+BR77)^BR3))</f>
        <v>0</v>
      </c>
      <c r="BS94" s="385">
        <f>IF('Data Entry'!$H$5="3.5% Declining",BS70*BS76,BS70/((1+BS77)^BS3))</f>
        <v>0</v>
      </c>
      <c r="BT94" s="385">
        <f>IF('Data Entry'!$H$5="3.5% Declining",BT70*BT76,BT70/((1+BT77)^BT3))</f>
        <v>0</v>
      </c>
      <c r="BU94" s="385">
        <f>IF('Data Entry'!$H$5="3.5% Declining",BU70*BU76,BU70/((1+BU77)^BU3))</f>
        <v>0</v>
      </c>
      <c r="BV94" s="385">
        <f>IF('Data Entry'!$H$5="3.5% Declining",BV70*BV76,BV70/((1+BV77)^BV3))</f>
        <v>0</v>
      </c>
      <c r="BW94" s="385">
        <f>IF('Data Entry'!$H$5="3.5% Declining",BW70*BW76,BW70/((1+BW77)^BW3))</f>
        <v>0</v>
      </c>
      <c r="BX94" s="385">
        <f>IF('Data Entry'!$H$5="3.5% Declining",BX70*BX76,BX70/((1+BX77)^BX3))</f>
        <v>0</v>
      </c>
      <c r="BY94" s="385">
        <f>IF('Data Entry'!$H$5="3.5% Declining",BY70*BY76,BY70/((1+BY77)^BY3))</f>
        <v>0</v>
      </c>
      <c r="BZ94" s="385">
        <f>IF('Data Entry'!$H$5="3.5% Declining",BZ70*BZ76,BZ70/((1+BZ77)^BZ3))</f>
        <v>0</v>
      </c>
      <c r="CA94" s="560">
        <f>IF('Data Entry'!$H$5="3.5% Declining",CA70*CA76,CA70/((1+CA77)^CA3))</f>
        <v>0</v>
      </c>
      <c r="CB94" s="385">
        <f>IF('Data Entry'!$H$5="3.5% Declining",CB70*CB76,CB70/((1+CB77)^CB3))</f>
        <v>0</v>
      </c>
      <c r="CC94" s="385">
        <f>IF('Data Entry'!$H$5="3.5% Declining",CC70*CC76,CC70/((1+CC77)^CC3))</f>
        <v>0</v>
      </c>
      <c r="CD94" s="385">
        <f>IF('Data Entry'!$H$5="3.5% Declining",CD70*CD76,CD70/((1+CD77)^CD3))</f>
        <v>0</v>
      </c>
      <c r="CE94" s="385">
        <f>IF('Data Entry'!$H$5="3.5% Declining",CE70*CE76,CE70/((1+CE77)^CE3))</f>
        <v>0</v>
      </c>
      <c r="CF94" s="385">
        <f>IF('Data Entry'!$H$5="3.5% Declining",CF70*CF76,CF70/((1+CF77)^CF3))</f>
        <v>0</v>
      </c>
      <c r="CG94" s="385">
        <f>IF('Data Entry'!$H$5="3.5% Declining",CG70*CG76,CG70/((1+CG77)^CG3))</f>
        <v>0</v>
      </c>
      <c r="CH94" s="385">
        <f>IF('Data Entry'!$H$5="3.5% Declining",CH70*CH76,CH70/((1+CH77)^CH3))</f>
        <v>0</v>
      </c>
      <c r="CI94" s="385">
        <f>IF('Data Entry'!$H$5="3.5% Declining",CI70*CI76,CI70/((1+CI77)^CI3))</f>
        <v>0</v>
      </c>
      <c r="CJ94" s="385">
        <f>IF('Data Entry'!$H$5="3.5% Declining",CJ70*CJ76,CJ70/((1+CJ77)^CJ3))</f>
        <v>0</v>
      </c>
      <c r="CK94" s="385">
        <f>IF('Data Entry'!$H$5="3.5% Declining",CK70*CK76,CK70/((1+CK77)^CK3))</f>
        <v>0</v>
      </c>
      <c r="CL94" s="385">
        <f>IF('Data Entry'!$H$5="3.5% Declining",CL70*CL76,CL70/((1+CL77)^CL3))</f>
        <v>0</v>
      </c>
      <c r="CM94" s="385">
        <f>IF('Data Entry'!$H$5="3.5% Declining",CM70*CM76,CM70/((1+CM77)^CM3))</f>
        <v>0</v>
      </c>
      <c r="CN94" s="385">
        <f>IF('Data Entry'!$H$5="3.5% Declining",CN70*CN76,CN70/((1+CN77)^CN3))</f>
        <v>0</v>
      </c>
      <c r="CO94" s="385">
        <f>IF('Data Entry'!$H$5="3.5% Declining",CO70*CO76,CO70/((1+CO77)^CO3))</f>
        <v>0</v>
      </c>
      <c r="CP94" s="385">
        <f>IF('Data Entry'!$H$5="3.5% Declining",CP70*CP76,CP70/((1+CP77)^CP3))</f>
        <v>0</v>
      </c>
      <c r="CQ94" s="385">
        <f>IF('Data Entry'!$H$5="3.5% Declining",CQ70*CQ76,CQ70/((1+CQ77)^CQ3))</f>
        <v>0</v>
      </c>
      <c r="CR94" s="385">
        <f>IF('Data Entry'!$H$5="3.5% Declining",CR70*CR76,CR70/((1+CR77)^CR3))</f>
        <v>0</v>
      </c>
      <c r="CS94" s="385">
        <f>IF('Data Entry'!$H$5="3.5% Declining",CS70*CS76,CS70/((1+CS77)^CS3))</f>
        <v>0</v>
      </c>
      <c r="CT94" s="385">
        <f>IF('Data Entry'!$H$5="3.5% Declining",CT70*CT76,CT70/((1+CT77)^CT3))</f>
        <v>0</v>
      </c>
      <c r="CU94" s="385">
        <f>IF('Data Entry'!$H$5="3.5% Declining",CU70*CU76,CU70/((1+CU77)^CU3))</f>
        <v>0</v>
      </c>
      <c r="CV94" s="385">
        <f>IF('Data Entry'!$H$5="3.5% Declining",CV70*CV76,CV70/((1+CV77)^CV3))</f>
        <v>0</v>
      </c>
      <c r="CW94" s="385">
        <f>IF('Data Entry'!$H$5="3.5% Declining",CW70*CW76,CW70/((1+CW77)^CW3))</f>
        <v>0</v>
      </c>
      <c r="CX94" s="385">
        <f>IF('Data Entry'!$H$5="3.5% Declining",CX70*CX76,CX70/((1+CX77)^CX3))</f>
        <v>0</v>
      </c>
      <c r="CY94" s="567">
        <f>IF('Data Entry'!$H$5="3.5% Declining",CY70*CY76,CY70/((1+CY77)^CY3))</f>
        <v>0</v>
      </c>
    </row>
    <row r="95" spans="1:103" ht="15" customHeight="1" thickBot="1" x14ac:dyDescent="0.35">
      <c r="A95" s="20"/>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43"/>
      <c r="AP95" s="25"/>
      <c r="AQ95" s="5"/>
      <c r="AR95" s="5"/>
      <c r="AS95" s="5"/>
      <c r="AT95" s="5"/>
      <c r="AU95" s="5"/>
      <c r="AV95" s="5"/>
      <c r="AW95" s="5"/>
      <c r="AX95" s="5"/>
      <c r="AY95" s="5"/>
      <c r="AZ95" s="5"/>
      <c r="BA95" s="5"/>
      <c r="BB95" s="5"/>
      <c r="BC95" s="5"/>
      <c r="BD95" s="5"/>
      <c r="BE95" s="5"/>
      <c r="BF95" s="5"/>
      <c r="BG95" s="5"/>
      <c r="BH95" s="5"/>
      <c r="BI95" s="5"/>
      <c r="BJ95" s="5"/>
      <c r="BK95" s="43"/>
      <c r="BL95" s="25"/>
      <c r="BM95" s="5"/>
      <c r="BN95" s="5"/>
      <c r="BO95" s="5"/>
      <c r="BP95" s="5"/>
      <c r="BQ95" s="5"/>
      <c r="BR95" s="5"/>
      <c r="BS95" s="5"/>
      <c r="BT95" s="5"/>
      <c r="BU95" s="5"/>
      <c r="BV95" s="5"/>
      <c r="BW95" s="5"/>
      <c r="BX95" s="5"/>
      <c r="BY95" s="5"/>
      <c r="BZ95" s="5"/>
      <c r="CA95" s="43"/>
      <c r="CB95" s="25"/>
      <c r="CC95" s="5"/>
      <c r="CD95" s="5"/>
      <c r="CE95" s="5"/>
      <c r="CF95" s="5"/>
      <c r="CG95" s="5"/>
      <c r="CH95" s="5"/>
      <c r="CI95" s="5"/>
      <c r="CJ95" s="5"/>
      <c r="CK95" s="5"/>
      <c r="CL95" s="5"/>
      <c r="CM95" s="5"/>
      <c r="CN95" s="5"/>
      <c r="CO95" s="5"/>
      <c r="CP95" s="5"/>
      <c r="CQ95" s="5"/>
      <c r="CR95" s="5"/>
      <c r="CS95" s="5"/>
      <c r="CT95" s="5"/>
      <c r="CU95" s="5"/>
      <c r="CV95" s="5"/>
      <c r="CW95" s="5"/>
      <c r="CX95" s="5"/>
      <c r="CY95" s="573"/>
    </row>
    <row r="96" spans="1:103" ht="15" customHeight="1" x14ac:dyDescent="0.3">
      <c r="A96" s="767" t="s">
        <v>51</v>
      </c>
      <c r="B96" s="768"/>
      <c r="C96" s="112">
        <f ca="1">SUM(D96:CY96)</f>
        <v>-6112</v>
      </c>
      <c r="D96" s="30">
        <f ca="1">D93-D79</f>
        <v>-6112</v>
      </c>
      <c r="E96" s="30">
        <f t="shared" ref="E96:AI96" ca="1" si="47">E93-E79</f>
        <v>0</v>
      </c>
      <c r="F96" s="30">
        <f t="shared" ca="1" si="47"/>
        <v>0</v>
      </c>
      <c r="G96" s="30">
        <f t="shared" ca="1" si="47"/>
        <v>0</v>
      </c>
      <c r="H96" s="30">
        <f t="shared" ca="1" si="47"/>
        <v>0</v>
      </c>
      <c r="I96" s="30">
        <f t="shared" ca="1" si="47"/>
        <v>0</v>
      </c>
      <c r="J96" s="30">
        <f t="shared" ca="1" si="47"/>
        <v>0</v>
      </c>
      <c r="K96" s="30">
        <f t="shared" ca="1" si="47"/>
        <v>0</v>
      </c>
      <c r="L96" s="30">
        <f t="shared" ca="1" si="47"/>
        <v>0</v>
      </c>
      <c r="M96" s="30">
        <f t="shared" ca="1" si="47"/>
        <v>0</v>
      </c>
      <c r="N96" s="30">
        <f t="shared" ca="1" si="47"/>
        <v>0</v>
      </c>
      <c r="O96" s="30">
        <f t="shared" ca="1" si="47"/>
        <v>0</v>
      </c>
      <c r="P96" s="30">
        <f t="shared" ca="1" si="47"/>
        <v>0</v>
      </c>
      <c r="Q96" s="30">
        <f t="shared" ca="1" si="47"/>
        <v>0</v>
      </c>
      <c r="R96" s="30">
        <f t="shared" ca="1" si="47"/>
        <v>0</v>
      </c>
      <c r="S96" s="30">
        <f t="shared" ca="1" si="47"/>
        <v>0</v>
      </c>
      <c r="T96" s="30">
        <f t="shared" ca="1" si="47"/>
        <v>0</v>
      </c>
      <c r="U96" s="30">
        <f t="shared" ca="1" si="47"/>
        <v>0</v>
      </c>
      <c r="V96" s="30">
        <f t="shared" ca="1" si="47"/>
        <v>0</v>
      </c>
      <c r="W96" s="30">
        <f t="shared" ca="1" si="47"/>
        <v>0</v>
      </c>
      <c r="X96" s="30">
        <f t="shared" ca="1" si="47"/>
        <v>0</v>
      </c>
      <c r="Y96" s="30">
        <f t="shared" ca="1" si="47"/>
        <v>0</v>
      </c>
      <c r="Z96" s="30">
        <f t="shared" ca="1" si="47"/>
        <v>0</v>
      </c>
      <c r="AA96" s="30">
        <f t="shared" ca="1" si="47"/>
        <v>0</v>
      </c>
      <c r="AB96" s="30">
        <f t="shared" ca="1" si="47"/>
        <v>0</v>
      </c>
      <c r="AC96" s="30">
        <f t="shared" ca="1" si="47"/>
        <v>0</v>
      </c>
      <c r="AD96" s="30">
        <f t="shared" ca="1" si="47"/>
        <v>0</v>
      </c>
      <c r="AE96" s="30">
        <f t="shared" ca="1" si="47"/>
        <v>0</v>
      </c>
      <c r="AF96" s="30">
        <f t="shared" ca="1" si="47"/>
        <v>0</v>
      </c>
      <c r="AG96" s="30">
        <f t="shared" ca="1" si="47"/>
        <v>0</v>
      </c>
      <c r="AH96" s="30">
        <f t="shared" ca="1" si="47"/>
        <v>0</v>
      </c>
      <c r="AI96" s="30">
        <f t="shared" ca="1" si="47"/>
        <v>0</v>
      </c>
      <c r="AJ96" s="30">
        <f t="shared" ref="AJ96:BO96" ca="1" si="48">AJ93-AJ79</f>
        <v>0</v>
      </c>
      <c r="AK96" s="30">
        <f t="shared" ca="1" si="48"/>
        <v>0</v>
      </c>
      <c r="AL96" s="30">
        <f t="shared" ca="1" si="48"/>
        <v>0</v>
      </c>
      <c r="AM96" s="30">
        <f t="shared" ca="1" si="48"/>
        <v>0</v>
      </c>
      <c r="AN96" s="30">
        <f t="shared" ca="1" si="48"/>
        <v>0</v>
      </c>
      <c r="AO96" s="52">
        <f t="shared" ca="1" si="48"/>
        <v>0</v>
      </c>
      <c r="AP96" s="30">
        <f t="shared" ca="1" si="48"/>
        <v>0</v>
      </c>
      <c r="AQ96" s="30">
        <f t="shared" ca="1" si="48"/>
        <v>0</v>
      </c>
      <c r="AR96" s="30">
        <f t="shared" ca="1" si="48"/>
        <v>0</v>
      </c>
      <c r="AS96" s="30">
        <f t="shared" ca="1" si="48"/>
        <v>0</v>
      </c>
      <c r="AT96" s="30">
        <f t="shared" ca="1" si="48"/>
        <v>0</v>
      </c>
      <c r="AU96" s="30">
        <f t="shared" ca="1" si="48"/>
        <v>0</v>
      </c>
      <c r="AV96" s="30">
        <f t="shared" ca="1" si="48"/>
        <v>0</v>
      </c>
      <c r="AW96" s="30">
        <f t="shared" ca="1" si="48"/>
        <v>0</v>
      </c>
      <c r="AX96" s="30">
        <f t="shared" ca="1" si="48"/>
        <v>0</v>
      </c>
      <c r="AY96" s="30">
        <f t="shared" ca="1" si="48"/>
        <v>0</v>
      </c>
      <c r="AZ96" s="30">
        <f t="shared" ca="1" si="48"/>
        <v>0</v>
      </c>
      <c r="BA96" s="30">
        <f t="shared" ca="1" si="48"/>
        <v>0</v>
      </c>
      <c r="BB96" s="30">
        <f t="shared" ca="1" si="48"/>
        <v>0</v>
      </c>
      <c r="BC96" s="30">
        <f t="shared" ca="1" si="48"/>
        <v>0</v>
      </c>
      <c r="BD96" s="30">
        <f t="shared" ca="1" si="48"/>
        <v>0</v>
      </c>
      <c r="BE96" s="30">
        <f t="shared" ca="1" si="48"/>
        <v>0</v>
      </c>
      <c r="BF96" s="30">
        <f t="shared" ca="1" si="48"/>
        <v>0</v>
      </c>
      <c r="BG96" s="30">
        <f t="shared" ca="1" si="48"/>
        <v>0</v>
      </c>
      <c r="BH96" s="30">
        <f t="shared" ca="1" si="48"/>
        <v>0</v>
      </c>
      <c r="BI96" s="30">
        <f t="shared" ca="1" si="48"/>
        <v>0</v>
      </c>
      <c r="BJ96" s="30">
        <f t="shared" ca="1" si="48"/>
        <v>0</v>
      </c>
      <c r="BK96" s="52">
        <f t="shared" ca="1" si="48"/>
        <v>0</v>
      </c>
      <c r="BL96" s="30">
        <f t="shared" ca="1" si="48"/>
        <v>0</v>
      </c>
      <c r="BM96" s="30">
        <f t="shared" ca="1" si="48"/>
        <v>0</v>
      </c>
      <c r="BN96" s="30">
        <f t="shared" ca="1" si="48"/>
        <v>0</v>
      </c>
      <c r="BO96" s="30">
        <f t="shared" ca="1" si="48"/>
        <v>0</v>
      </c>
      <c r="BP96" s="30">
        <f t="shared" ref="BP96:CY96" ca="1" si="49">BP93-BP79</f>
        <v>0</v>
      </c>
      <c r="BQ96" s="30">
        <f t="shared" ca="1" si="49"/>
        <v>0</v>
      </c>
      <c r="BR96" s="30">
        <f t="shared" ca="1" si="49"/>
        <v>0</v>
      </c>
      <c r="BS96" s="30">
        <f t="shared" ca="1" si="49"/>
        <v>0</v>
      </c>
      <c r="BT96" s="30">
        <f t="shared" ca="1" si="49"/>
        <v>0</v>
      </c>
      <c r="BU96" s="30">
        <f t="shared" ca="1" si="49"/>
        <v>0</v>
      </c>
      <c r="BV96" s="30">
        <f t="shared" ca="1" si="49"/>
        <v>0</v>
      </c>
      <c r="BW96" s="30">
        <f t="shared" ca="1" si="49"/>
        <v>0</v>
      </c>
      <c r="BX96" s="30">
        <f t="shared" ca="1" si="49"/>
        <v>0</v>
      </c>
      <c r="BY96" s="30">
        <f t="shared" ca="1" si="49"/>
        <v>0</v>
      </c>
      <c r="BZ96" s="30">
        <f t="shared" ca="1" si="49"/>
        <v>0</v>
      </c>
      <c r="CA96" s="52">
        <f t="shared" ca="1" si="49"/>
        <v>0</v>
      </c>
      <c r="CB96" s="30">
        <f t="shared" ca="1" si="49"/>
        <v>0</v>
      </c>
      <c r="CC96" s="30">
        <f t="shared" ca="1" si="49"/>
        <v>0</v>
      </c>
      <c r="CD96" s="30">
        <f t="shared" ca="1" si="49"/>
        <v>0</v>
      </c>
      <c r="CE96" s="30">
        <f t="shared" ca="1" si="49"/>
        <v>0</v>
      </c>
      <c r="CF96" s="30">
        <f t="shared" ca="1" si="49"/>
        <v>0</v>
      </c>
      <c r="CG96" s="30">
        <f t="shared" ca="1" si="49"/>
        <v>0</v>
      </c>
      <c r="CH96" s="30">
        <f t="shared" ca="1" si="49"/>
        <v>0</v>
      </c>
      <c r="CI96" s="30">
        <f t="shared" ca="1" si="49"/>
        <v>0</v>
      </c>
      <c r="CJ96" s="30">
        <f t="shared" ca="1" si="49"/>
        <v>0</v>
      </c>
      <c r="CK96" s="30">
        <f t="shared" ca="1" si="49"/>
        <v>0</v>
      </c>
      <c r="CL96" s="30">
        <f t="shared" ca="1" si="49"/>
        <v>0</v>
      </c>
      <c r="CM96" s="30">
        <f t="shared" ca="1" si="49"/>
        <v>0</v>
      </c>
      <c r="CN96" s="30">
        <f t="shared" ca="1" si="49"/>
        <v>0</v>
      </c>
      <c r="CO96" s="30">
        <f t="shared" ca="1" si="49"/>
        <v>0</v>
      </c>
      <c r="CP96" s="30">
        <f t="shared" ca="1" si="49"/>
        <v>0</v>
      </c>
      <c r="CQ96" s="30">
        <f t="shared" ca="1" si="49"/>
        <v>0</v>
      </c>
      <c r="CR96" s="30">
        <f t="shared" ca="1" si="49"/>
        <v>0</v>
      </c>
      <c r="CS96" s="30">
        <f t="shared" ca="1" si="49"/>
        <v>0</v>
      </c>
      <c r="CT96" s="30">
        <f t="shared" ca="1" si="49"/>
        <v>0</v>
      </c>
      <c r="CU96" s="30">
        <f t="shared" ca="1" si="49"/>
        <v>0</v>
      </c>
      <c r="CV96" s="30">
        <f t="shared" ca="1" si="49"/>
        <v>0</v>
      </c>
      <c r="CW96" s="30">
        <f t="shared" ca="1" si="49"/>
        <v>0</v>
      </c>
      <c r="CX96" s="30">
        <f t="shared" ca="1" si="49"/>
        <v>0</v>
      </c>
      <c r="CY96" s="584">
        <f t="shared" ca="1" si="49"/>
        <v>0</v>
      </c>
    </row>
    <row r="97" spans="1:103" ht="15" customHeight="1" thickBot="1" x14ac:dyDescent="0.35">
      <c r="A97" s="769" t="s">
        <v>52</v>
      </c>
      <c r="B97" s="770"/>
      <c r="C97" s="113">
        <f ca="1">SUM(D97:CY97)</f>
        <v>-1695</v>
      </c>
      <c r="D97" s="31">
        <f ca="1">D94-D80</f>
        <v>-1695</v>
      </c>
      <c r="E97" s="31">
        <f t="shared" ref="E97:AI97" ca="1" si="50">E94-E80</f>
        <v>0</v>
      </c>
      <c r="F97" s="31">
        <f t="shared" ca="1" si="50"/>
        <v>0</v>
      </c>
      <c r="G97" s="31">
        <f t="shared" ca="1" si="50"/>
        <v>0</v>
      </c>
      <c r="H97" s="31">
        <f t="shared" ca="1" si="50"/>
        <v>0</v>
      </c>
      <c r="I97" s="31">
        <f t="shared" ca="1" si="50"/>
        <v>0</v>
      </c>
      <c r="J97" s="31">
        <f t="shared" ca="1" si="50"/>
        <v>0</v>
      </c>
      <c r="K97" s="31">
        <f t="shared" ca="1" si="50"/>
        <v>0</v>
      </c>
      <c r="L97" s="31">
        <f t="shared" ca="1" si="50"/>
        <v>0</v>
      </c>
      <c r="M97" s="31">
        <f t="shared" ca="1" si="50"/>
        <v>0</v>
      </c>
      <c r="N97" s="31">
        <f t="shared" ca="1" si="50"/>
        <v>0</v>
      </c>
      <c r="O97" s="31">
        <f t="shared" ca="1" si="50"/>
        <v>0</v>
      </c>
      <c r="P97" s="31">
        <f t="shared" ca="1" si="50"/>
        <v>0</v>
      </c>
      <c r="Q97" s="31">
        <f t="shared" ca="1" si="50"/>
        <v>0</v>
      </c>
      <c r="R97" s="31">
        <f t="shared" ca="1" si="50"/>
        <v>0</v>
      </c>
      <c r="S97" s="31">
        <f t="shared" ca="1" si="50"/>
        <v>0</v>
      </c>
      <c r="T97" s="31">
        <f t="shared" ca="1" si="50"/>
        <v>0</v>
      </c>
      <c r="U97" s="31">
        <f t="shared" ca="1" si="50"/>
        <v>0</v>
      </c>
      <c r="V97" s="31">
        <f t="shared" ca="1" si="50"/>
        <v>0</v>
      </c>
      <c r="W97" s="31">
        <f t="shared" ca="1" si="50"/>
        <v>0</v>
      </c>
      <c r="X97" s="31">
        <f t="shared" ca="1" si="50"/>
        <v>0</v>
      </c>
      <c r="Y97" s="31">
        <f t="shared" ca="1" si="50"/>
        <v>0</v>
      </c>
      <c r="Z97" s="31">
        <f t="shared" ca="1" si="50"/>
        <v>0</v>
      </c>
      <c r="AA97" s="31">
        <f t="shared" ca="1" si="50"/>
        <v>0</v>
      </c>
      <c r="AB97" s="31">
        <f t="shared" ca="1" si="50"/>
        <v>0</v>
      </c>
      <c r="AC97" s="31">
        <f t="shared" ca="1" si="50"/>
        <v>0</v>
      </c>
      <c r="AD97" s="31">
        <f t="shared" ca="1" si="50"/>
        <v>0</v>
      </c>
      <c r="AE97" s="31">
        <f t="shared" ca="1" si="50"/>
        <v>0</v>
      </c>
      <c r="AF97" s="31">
        <f t="shared" ca="1" si="50"/>
        <v>0</v>
      </c>
      <c r="AG97" s="31">
        <f t="shared" ca="1" si="50"/>
        <v>0</v>
      </c>
      <c r="AH97" s="31">
        <f t="shared" ca="1" si="50"/>
        <v>0</v>
      </c>
      <c r="AI97" s="31">
        <f t="shared" ca="1" si="50"/>
        <v>0</v>
      </c>
      <c r="AJ97" s="31">
        <f t="shared" ref="AJ97:BO97" ca="1" si="51">AJ94-AJ80</f>
        <v>0</v>
      </c>
      <c r="AK97" s="31">
        <f t="shared" ca="1" si="51"/>
        <v>0</v>
      </c>
      <c r="AL97" s="31">
        <f t="shared" ca="1" si="51"/>
        <v>0</v>
      </c>
      <c r="AM97" s="31">
        <f t="shared" ca="1" si="51"/>
        <v>0</v>
      </c>
      <c r="AN97" s="31">
        <f t="shared" ca="1" si="51"/>
        <v>0</v>
      </c>
      <c r="AO97" s="53">
        <f t="shared" ca="1" si="51"/>
        <v>0</v>
      </c>
      <c r="AP97" s="31">
        <f t="shared" ca="1" si="51"/>
        <v>0</v>
      </c>
      <c r="AQ97" s="31">
        <f t="shared" ca="1" si="51"/>
        <v>0</v>
      </c>
      <c r="AR97" s="31">
        <f t="shared" ca="1" si="51"/>
        <v>0</v>
      </c>
      <c r="AS97" s="31">
        <f t="shared" ca="1" si="51"/>
        <v>0</v>
      </c>
      <c r="AT97" s="31">
        <f t="shared" ca="1" si="51"/>
        <v>0</v>
      </c>
      <c r="AU97" s="31">
        <f t="shared" ca="1" si="51"/>
        <v>0</v>
      </c>
      <c r="AV97" s="31">
        <f t="shared" ca="1" si="51"/>
        <v>0</v>
      </c>
      <c r="AW97" s="31">
        <f t="shared" ca="1" si="51"/>
        <v>0</v>
      </c>
      <c r="AX97" s="31">
        <f t="shared" ca="1" si="51"/>
        <v>0</v>
      </c>
      <c r="AY97" s="31">
        <f t="shared" ca="1" si="51"/>
        <v>0</v>
      </c>
      <c r="AZ97" s="31">
        <f t="shared" ca="1" si="51"/>
        <v>0</v>
      </c>
      <c r="BA97" s="31">
        <f t="shared" ca="1" si="51"/>
        <v>0</v>
      </c>
      <c r="BB97" s="31">
        <f t="shared" ca="1" si="51"/>
        <v>0</v>
      </c>
      <c r="BC97" s="31">
        <f t="shared" ca="1" si="51"/>
        <v>0</v>
      </c>
      <c r="BD97" s="31">
        <f t="shared" ca="1" si="51"/>
        <v>0</v>
      </c>
      <c r="BE97" s="31">
        <f t="shared" ca="1" si="51"/>
        <v>0</v>
      </c>
      <c r="BF97" s="31">
        <f t="shared" ca="1" si="51"/>
        <v>0</v>
      </c>
      <c r="BG97" s="31">
        <f t="shared" ca="1" si="51"/>
        <v>0</v>
      </c>
      <c r="BH97" s="31">
        <f t="shared" ca="1" si="51"/>
        <v>0</v>
      </c>
      <c r="BI97" s="31">
        <f t="shared" ca="1" si="51"/>
        <v>0</v>
      </c>
      <c r="BJ97" s="31">
        <f t="shared" ca="1" si="51"/>
        <v>0</v>
      </c>
      <c r="BK97" s="53">
        <f t="shared" ca="1" si="51"/>
        <v>0</v>
      </c>
      <c r="BL97" s="31">
        <f t="shared" ca="1" si="51"/>
        <v>0</v>
      </c>
      <c r="BM97" s="31">
        <f t="shared" ca="1" si="51"/>
        <v>0</v>
      </c>
      <c r="BN97" s="31">
        <f t="shared" ca="1" si="51"/>
        <v>0</v>
      </c>
      <c r="BO97" s="31">
        <f t="shared" ca="1" si="51"/>
        <v>0</v>
      </c>
      <c r="BP97" s="31">
        <f t="shared" ref="BP97:CY97" ca="1" si="52">BP94-BP80</f>
        <v>0</v>
      </c>
      <c r="BQ97" s="31">
        <f t="shared" ca="1" si="52"/>
        <v>0</v>
      </c>
      <c r="BR97" s="31">
        <f t="shared" ca="1" si="52"/>
        <v>0</v>
      </c>
      <c r="BS97" s="31">
        <f t="shared" ca="1" si="52"/>
        <v>0</v>
      </c>
      <c r="BT97" s="31">
        <f t="shared" ca="1" si="52"/>
        <v>0</v>
      </c>
      <c r="BU97" s="31">
        <f t="shared" ca="1" si="52"/>
        <v>0</v>
      </c>
      <c r="BV97" s="31">
        <f t="shared" ca="1" si="52"/>
        <v>0</v>
      </c>
      <c r="BW97" s="31">
        <f t="shared" ca="1" si="52"/>
        <v>0</v>
      </c>
      <c r="BX97" s="31">
        <f t="shared" ca="1" si="52"/>
        <v>0</v>
      </c>
      <c r="BY97" s="31">
        <f t="shared" ca="1" si="52"/>
        <v>0</v>
      </c>
      <c r="BZ97" s="31">
        <f t="shared" ca="1" si="52"/>
        <v>0</v>
      </c>
      <c r="CA97" s="53">
        <f t="shared" ca="1" si="52"/>
        <v>0</v>
      </c>
      <c r="CB97" s="31">
        <f t="shared" ca="1" si="52"/>
        <v>0</v>
      </c>
      <c r="CC97" s="31">
        <f t="shared" ca="1" si="52"/>
        <v>0</v>
      </c>
      <c r="CD97" s="31">
        <f t="shared" ca="1" si="52"/>
        <v>0</v>
      </c>
      <c r="CE97" s="31">
        <f t="shared" ca="1" si="52"/>
        <v>0</v>
      </c>
      <c r="CF97" s="31">
        <f t="shared" ca="1" si="52"/>
        <v>0</v>
      </c>
      <c r="CG97" s="31">
        <f t="shared" ca="1" si="52"/>
        <v>0</v>
      </c>
      <c r="CH97" s="31">
        <f t="shared" ca="1" si="52"/>
        <v>0</v>
      </c>
      <c r="CI97" s="31">
        <f t="shared" ca="1" si="52"/>
        <v>0</v>
      </c>
      <c r="CJ97" s="31">
        <f t="shared" ca="1" si="52"/>
        <v>0</v>
      </c>
      <c r="CK97" s="31">
        <f t="shared" ca="1" si="52"/>
        <v>0</v>
      </c>
      <c r="CL97" s="31">
        <f t="shared" ca="1" si="52"/>
        <v>0</v>
      </c>
      <c r="CM97" s="31">
        <f t="shared" ca="1" si="52"/>
        <v>0</v>
      </c>
      <c r="CN97" s="31">
        <f t="shared" ca="1" si="52"/>
        <v>0</v>
      </c>
      <c r="CO97" s="31">
        <f t="shared" ca="1" si="52"/>
        <v>0</v>
      </c>
      <c r="CP97" s="31">
        <f t="shared" ca="1" si="52"/>
        <v>0</v>
      </c>
      <c r="CQ97" s="31">
        <f t="shared" ca="1" si="52"/>
        <v>0</v>
      </c>
      <c r="CR97" s="31">
        <f t="shared" ca="1" si="52"/>
        <v>0</v>
      </c>
      <c r="CS97" s="31">
        <f t="shared" ca="1" si="52"/>
        <v>0</v>
      </c>
      <c r="CT97" s="31">
        <f t="shared" ca="1" si="52"/>
        <v>0</v>
      </c>
      <c r="CU97" s="31">
        <f t="shared" ca="1" si="52"/>
        <v>0</v>
      </c>
      <c r="CV97" s="31">
        <f t="shared" ca="1" si="52"/>
        <v>0</v>
      </c>
      <c r="CW97" s="31">
        <f t="shared" ca="1" si="52"/>
        <v>0</v>
      </c>
      <c r="CX97" s="31">
        <f t="shared" ca="1" si="52"/>
        <v>0</v>
      </c>
      <c r="CY97" s="585">
        <f t="shared" ca="1" si="52"/>
        <v>0</v>
      </c>
    </row>
    <row r="98" spans="1:103" x14ac:dyDescent="0.3">
      <c r="D98" s="21"/>
      <c r="AO98" s="28"/>
      <c r="BK98" s="28"/>
      <c r="CA98" s="28"/>
      <c r="CY98" s="771"/>
    </row>
    <row r="99" spans="1:103" x14ac:dyDescent="0.3">
      <c r="A99" s="772" t="s">
        <v>218</v>
      </c>
      <c r="D99" s="773"/>
      <c r="AO99" s="28"/>
      <c r="BK99" s="28"/>
      <c r="CA99" s="28"/>
      <c r="CY99" s="771"/>
    </row>
    <row r="100" spans="1:103" ht="14" thickBot="1" x14ac:dyDescent="0.35">
      <c r="A100" s="772"/>
      <c r="D100" s="773"/>
      <c r="AO100" s="28"/>
      <c r="BK100" s="28"/>
      <c r="CA100" s="28"/>
      <c r="CY100" s="771"/>
    </row>
    <row r="101" spans="1:103" ht="15" customHeight="1" thickBot="1" x14ac:dyDescent="0.35">
      <c r="A101" s="774" t="s">
        <v>106</v>
      </c>
      <c r="B101" s="775"/>
      <c r="C101" s="776">
        <f>SUM(D101:CY101)</f>
        <v>0</v>
      </c>
      <c r="D101" s="114">
        <f>IF(D3&lt;'Data Entry'!$B$13,'Data Entry'!$K$106,0)</f>
        <v>0</v>
      </c>
      <c r="E101" s="114">
        <f>IF(E3&lt;'Data Entry'!$B$13,'Data Entry'!$K$106,0)</f>
        <v>0</v>
      </c>
      <c r="F101" s="114">
        <f>IF(F3&lt;'Data Entry'!$B$13,'Data Entry'!$K$106,0)</f>
        <v>0</v>
      </c>
      <c r="G101" s="114">
        <f>IF(G3&lt;'Data Entry'!$B$13,'Data Entry'!$K$106,0)</f>
        <v>0</v>
      </c>
      <c r="H101" s="114">
        <f>IF(H3&lt;'Data Entry'!$B$13,'Data Entry'!$K$106,0)</f>
        <v>0</v>
      </c>
      <c r="I101" s="114">
        <f>IF(I3&lt;'Data Entry'!$B$13,'Data Entry'!$K$106,0)</f>
        <v>0</v>
      </c>
      <c r="J101" s="114">
        <f>IF(J3&lt;'Data Entry'!$B$13,'Data Entry'!$K$106,0)</f>
        <v>0</v>
      </c>
      <c r="K101" s="114">
        <f>IF(K3&lt;'Data Entry'!$B$13,'Data Entry'!$K$106,0)</f>
        <v>0</v>
      </c>
      <c r="L101" s="114">
        <f>IF(L3&lt;'Data Entry'!$B$13,'Data Entry'!$K$106,0)</f>
        <v>0</v>
      </c>
      <c r="M101" s="114">
        <f>IF(M3&lt;'Data Entry'!$B$13,'Data Entry'!$K$106,0)</f>
        <v>0</v>
      </c>
      <c r="N101" s="114">
        <f>IF(N3&lt;'Data Entry'!$B$13,'Data Entry'!$K$106,0)</f>
        <v>0</v>
      </c>
      <c r="O101" s="114">
        <f>IF(O3&lt;'Data Entry'!$B$13,'Data Entry'!$K$106,0)</f>
        <v>0</v>
      </c>
      <c r="P101" s="114">
        <f>IF(P3&lt;'Data Entry'!$B$13,'Data Entry'!$K$106,0)</f>
        <v>0</v>
      </c>
      <c r="Q101" s="114">
        <f>IF(Q3&lt;'Data Entry'!$B$13,'Data Entry'!$K$106,0)</f>
        <v>0</v>
      </c>
      <c r="R101" s="114">
        <f>IF(R3&lt;'Data Entry'!$B$13,'Data Entry'!$K$106,0)</f>
        <v>0</v>
      </c>
      <c r="S101" s="114">
        <f>IF(S3&lt;'Data Entry'!$B$13,'Data Entry'!$K$106,0)</f>
        <v>0</v>
      </c>
      <c r="T101" s="114">
        <f>IF(T3&lt;'Data Entry'!$B$13,'Data Entry'!$K$106,0)</f>
        <v>0</v>
      </c>
      <c r="U101" s="114">
        <f>IF(U3&lt;'Data Entry'!$B$13,'Data Entry'!$K$106,0)</f>
        <v>0</v>
      </c>
      <c r="V101" s="114">
        <f>IF(V3&lt;'Data Entry'!$B$13,'Data Entry'!$K$106,0)</f>
        <v>0</v>
      </c>
      <c r="W101" s="114">
        <f>IF(W3&lt;'Data Entry'!$B$13,'Data Entry'!$K$106,0)</f>
        <v>0</v>
      </c>
      <c r="X101" s="114">
        <f>IF(X3&lt;'Data Entry'!$B$13,'Data Entry'!$K$106,0)</f>
        <v>0</v>
      </c>
      <c r="Y101" s="114">
        <f>IF(Y3&lt;'Data Entry'!$B$13,'Data Entry'!$K$106,0)</f>
        <v>0</v>
      </c>
      <c r="Z101" s="114">
        <f>IF(Z3&lt;'Data Entry'!$B$13,'Data Entry'!$K$106,0)</f>
        <v>0</v>
      </c>
      <c r="AA101" s="114">
        <f>IF(AA3&lt;'Data Entry'!$B$13,'Data Entry'!$K$106,0)</f>
        <v>0</v>
      </c>
      <c r="AB101" s="114">
        <f>IF(AB3&lt;'Data Entry'!$B$13,'Data Entry'!$K$106,0)</f>
        <v>0</v>
      </c>
      <c r="AC101" s="114">
        <f>IF(AC3&lt;'Data Entry'!$B$13,'Data Entry'!$K$106,0)</f>
        <v>0</v>
      </c>
      <c r="AD101" s="114">
        <f>IF(AD3&lt;'Data Entry'!$B$13,'Data Entry'!$K$106,0)</f>
        <v>0</v>
      </c>
      <c r="AE101" s="114">
        <f>IF(AE3&lt;'Data Entry'!$B$13,'Data Entry'!$K$106,0)</f>
        <v>0</v>
      </c>
      <c r="AF101" s="114">
        <f>IF(AF3&lt;'Data Entry'!$B$13,'Data Entry'!$K$106,0)</f>
        <v>0</v>
      </c>
      <c r="AG101" s="114">
        <f>IF(AG3&lt;'Data Entry'!$B$13,'Data Entry'!$K$106,0)</f>
        <v>0</v>
      </c>
      <c r="AH101" s="114">
        <f>IF(AH3&lt;'Data Entry'!$B$13,'Data Entry'!$K$106,0)</f>
        <v>0</v>
      </c>
      <c r="AI101" s="114">
        <f>IF(AI3&lt;'Data Entry'!$B$13,'Data Entry'!$K$106,0)</f>
        <v>0</v>
      </c>
      <c r="AJ101" s="114">
        <f>IF(AJ3&lt;'Data Entry'!$B$13,'Data Entry'!$K$106,0)</f>
        <v>0</v>
      </c>
      <c r="AK101" s="114">
        <f>IF(AK3&lt;'Data Entry'!$B$13,'Data Entry'!$K$106,0)</f>
        <v>0</v>
      </c>
      <c r="AL101" s="114">
        <f>IF(AL3&lt;'Data Entry'!$B$13,'Data Entry'!$K$106,0)</f>
        <v>0</v>
      </c>
      <c r="AM101" s="114">
        <f>IF(AM3&lt;'Data Entry'!$B$13,'Data Entry'!$K$106,0)</f>
        <v>0</v>
      </c>
      <c r="AN101" s="114">
        <f>IF(AN3&lt;'Data Entry'!$B$13,'Data Entry'!$K$106,0)</f>
        <v>0</v>
      </c>
      <c r="AO101" s="171">
        <f>IF(AO3&lt;'Data Entry'!$B$13,'Data Entry'!$K$106,0)</f>
        <v>0</v>
      </c>
      <c r="AP101" s="114">
        <f>IF(AP3&lt;'Data Entry'!$B$13,'Data Entry'!$K$106,0)</f>
        <v>0</v>
      </c>
      <c r="AQ101" s="114">
        <f>IF(AQ3&lt;'Data Entry'!$B$13,'Data Entry'!$K$106,0)</f>
        <v>0</v>
      </c>
      <c r="AR101" s="114">
        <f>IF(AR3&lt;'Data Entry'!$B$13,'Data Entry'!$K$106,0)</f>
        <v>0</v>
      </c>
      <c r="AS101" s="114">
        <f>IF(AS3&lt;'Data Entry'!$B$13,'Data Entry'!$K$106,0)</f>
        <v>0</v>
      </c>
      <c r="AT101" s="114">
        <f>IF(AT3&lt;'Data Entry'!$B$13,'Data Entry'!$K$106,0)</f>
        <v>0</v>
      </c>
      <c r="AU101" s="114">
        <f>IF(AU3&lt;'Data Entry'!$B$13,'Data Entry'!$K$106,0)</f>
        <v>0</v>
      </c>
      <c r="AV101" s="114">
        <f>IF(AV3&lt;'Data Entry'!$B$13,'Data Entry'!$K$106,0)</f>
        <v>0</v>
      </c>
      <c r="AW101" s="114">
        <f>IF(AW3&lt;'Data Entry'!$B$13,'Data Entry'!$K$106,0)</f>
        <v>0</v>
      </c>
      <c r="AX101" s="114">
        <f>IF(AX3&lt;'Data Entry'!$B$13,'Data Entry'!$K$106,0)</f>
        <v>0</v>
      </c>
      <c r="AY101" s="114">
        <f>IF(AY3&lt;'Data Entry'!$B$13,'Data Entry'!$K$106,0)</f>
        <v>0</v>
      </c>
      <c r="AZ101" s="114">
        <f>IF(AZ3&lt;'Data Entry'!$B$13,'Data Entry'!$K$106,0)</f>
        <v>0</v>
      </c>
      <c r="BA101" s="114">
        <f>IF(BA3&lt;'Data Entry'!$B$13,'Data Entry'!$K$106,0)</f>
        <v>0</v>
      </c>
      <c r="BB101" s="114">
        <f>IF(BB3&lt;'Data Entry'!$B$13,'Data Entry'!$K$106,0)</f>
        <v>0</v>
      </c>
      <c r="BC101" s="114">
        <f>IF(BC3&lt;'Data Entry'!$B$13,'Data Entry'!$K$106,0)</f>
        <v>0</v>
      </c>
      <c r="BD101" s="114">
        <f>IF(BD3&lt;'Data Entry'!$B$13,'Data Entry'!$K$106,0)</f>
        <v>0</v>
      </c>
      <c r="BE101" s="114">
        <f>IF(BE3&lt;'Data Entry'!$B$13,'Data Entry'!$K$106,0)</f>
        <v>0</v>
      </c>
      <c r="BF101" s="114">
        <f>IF(BF3&lt;'Data Entry'!$B$13,'Data Entry'!$K$106,0)</f>
        <v>0</v>
      </c>
      <c r="BG101" s="114">
        <f>IF(BG3&lt;'Data Entry'!$B$13,'Data Entry'!$K$106,0)</f>
        <v>0</v>
      </c>
      <c r="BH101" s="114">
        <f>IF(BH3&lt;'Data Entry'!$B$13,'Data Entry'!$K$106,0)</f>
        <v>0</v>
      </c>
      <c r="BI101" s="114">
        <f>IF(BI3&lt;'Data Entry'!$B$13,'Data Entry'!$K$106,0)</f>
        <v>0</v>
      </c>
      <c r="BJ101" s="114">
        <f>IF(BJ3&lt;'Data Entry'!$B$13,'Data Entry'!$K$106,0)</f>
        <v>0</v>
      </c>
      <c r="BK101" s="171">
        <f>IF(BK3&lt;'Data Entry'!$B$13,'Data Entry'!$K$106,0)</f>
        <v>0</v>
      </c>
      <c r="BL101" s="114">
        <f>IF(BL3&lt;'Data Entry'!$B$13,'Data Entry'!$K$106,0)</f>
        <v>0</v>
      </c>
      <c r="BM101" s="114">
        <f>IF(BM3&lt;'Data Entry'!$B$13,'Data Entry'!$K$106,0)</f>
        <v>0</v>
      </c>
      <c r="BN101" s="114">
        <f>IF(BN3&lt;'Data Entry'!$B$13,'Data Entry'!$K$106,0)</f>
        <v>0</v>
      </c>
      <c r="BO101" s="114">
        <f>IF(BO3&lt;'Data Entry'!$B$13,'Data Entry'!$K$106,0)</f>
        <v>0</v>
      </c>
      <c r="BP101" s="114">
        <f>IF(BP3&lt;'Data Entry'!$B$13,'Data Entry'!$K$106,0)</f>
        <v>0</v>
      </c>
      <c r="BQ101" s="114">
        <f>IF(BQ3&lt;'Data Entry'!$B$13,'Data Entry'!$K$106,0)</f>
        <v>0</v>
      </c>
      <c r="BR101" s="114">
        <f>IF(BR3&lt;'Data Entry'!$B$13,'Data Entry'!$K$106,0)</f>
        <v>0</v>
      </c>
      <c r="BS101" s="114">
        <f>IF(BS3&lt;'Data Entry'!$B$13,'Data Entry'!$K$106,0)</f>
        <v>0</v>
      </c>
      <c r="BT101" s="114">
        <f>IF(BT3&lt;'Data Entry'!$B$13,'Data Entry'!$K$106,0)</f>
        <v>0</v>
      </c>
      <c r="BU101" s="114">
        <f>IF(BU3&lt;'Data Entry'!$B$13,'Data Entry'!$K$106,0)</f>
        <v>0</v>
      </c>
      <c r="BV101" s="114">
        <f>IF(BV3&lt;'Data Entry'!$B$13,'Data Entry'!$K$106,0)</f>
        <v>0</v>
      </c>
      <c r="BW101" s="114">
        <f>IF(BW3&lt;'Data Entry'!$B$13,'Data Entry'!$K$106,0)</f>
        <v>0</v>
      </c>
      <c r="BX101" s="114">
        <f>IF(BX3&lt;'Data Entry'!$B$13,'Data Entry'!$K$106,0)</f>
        <v>0</v>
      </c>
      <c r="BY101" s="114">
        <f>IF(BY3&lt;'Data Entry'!$B$13,'Data Entry'!$K$106,0)</f>
        <v>0</v>
      </c>
      <c r="BZ101" s="114">
        <f>IF(BZ3&lt;'Data Entry'!$B$13,'Data Entry'!$K$106,0)</f>
        <v>0</v>
      </c>
      <c r="CA101" s="171">
        <f>IF(CA3&lt;'Data Entry'!$B$13,'Data Entry'!$K$106,0)</f>
        <v>0</v>
      </c>
      <c r="CB101" s="114">
        <f>IF(CB3&lt;'Data Entry'!$B$13,'Data Entry'!$K$106,0)</f>
        <v>0</v>
      </c>
      <c r="CC101" s="114">
        <f>IF(CC3&lt;'Data Entry'!$B$13,'Data Entry'!$K$106,0)</f>
        <v>0</v>
      </c>
      <c r="CD101" s="114">
        <f>IF(CD3&lt;'Data Entry'!$B$13,'Data Entry'!$K$106,0)</f>
        <v>0</v>
      </c>
      <c r="CE101" s="114">
        <f>IF(CE3&lt;'Data Entry'!$B$13,'Data Entry'!$K$106,0)</f>
        <v>0</v>
      </c>
      <c r="CF101" s="114">
        <f>IF(CF3&lt;'Data Entry'!$B$13,'Data Entry'!$K$106,0)</f>
        <v>0</v>
      </c>
      <c r="CG101" s="114">
        <f>IF(CG3&lt;'Data Entry'!$B$13,'Data Entry'!$K$106,0)</f>
        <v>0</v>
      </c>
      <c r="CH101" s="114">
        <f>IF(CH3&lt;'Data Entry'!$B$13,'Data Entry'!$K$106,0)</f>
        <v>0</v>
      </c>
      <c r="CI101" s="114">
        <f>IF(CI3&lt;'Data Entry'!$B$13,'Data Entry'!$K$106,0)</f>
        <v>0</v>
      </c>
      <c r="CJ101" s="114">
        <f>IF(CJ3&lt;'Data Entry'!$B$13,'Data Entry'!$K$106,0)</f>
        <v>0</v>
      </c>
      <c r="CK101" s="114">
        <f>IF(CK3&lt;'Data Entry'!$B$13,'Data Entry'!$K$106,0)</f>
        <v>0</v>
      </c>
      <c r="CL101" s="114">
        <f>IF(CL3&lt;'Data Entry'!$B$13,'Data Entry'!$K$106,0)</f>
        <v>0</v>
      </c>
      <c r="CM101" s="114">
        <f>IF(CM3&lt;'Data Entry'!$B$13,'Data Entry'!$K$106,0)</f>
        <v>0</v>
      </c>
      <c r="CN101" s="114">
        <f>IF(CN3&lt;'Data Entry'!$B$13,'Data Entry'!$K$106,0)</f>
        <v>0</v>
      </c>
      <c r="CO101" s="114">
        <f>IF(CO3&lt;'Data Entry'!$B$13,'Data Entry'!$K$106,0)</f>
        <v>0</v>
      </c>
      <c r="CP101" s="114">
        <f>IF(CP3&lt;'Data Entry'!$B$13,'Data Entry'!$K$106,0)</f>
        <v>0</v>
      </c>
      <c r="CQ101" s="114">
        <f>IF(CQ3&lt;'Data Entry'!$B$13,'Data Entry'!$K$106,0)</f>
        <v>0</v>
      </c>
      <c r="CR101" s="114">
        <f>IF(CR3&lt;'Data Entry'!$B$13,'Data Entry'!$K$106,0)</f>
        <v>0</v>
      </c>
      <c r="CS101" s="114">
        <f>IF(CS3&lt;'Data Entry'!$B$13,'Data Entry'!$K$106,0)</f>
        <v>0</v>
      </c>
      <c r="CT101" s="114">
        <f>IF(CT3&lt;'Data Entry'!$B$13,'Data Entry'!$K$106,0)</f>
        <v>0</v>
      </c>
      <c r="CU101" s="114">
        <f>IF(CU3&lt;'Data Entry'!$B$13,'Data Entry'!$K$106,0)</f>
        <v>0</v>
      </c>
      <c r="CV101" s="114">
        <f>IF(CV3&lt;'Data Entry'!$B$13,'Data Entry'!$K$106,0)</f>
        <v>0</v>
      </c>
      <c r="CW101" s="114">
        <f>IF(CW3&lt;'Data Entry'!$B$13,'Data Entry'!$K$106,0)</f>
        <v>0</v>
      </c>
      <c r="CX101" s="114">
        <f>IF(CX3&lt;'Data Entry'!$B$13,'Data Entry'!$K$106,0)</f>
        <v>0</v>
      </c>
      <c r="CY101" s="586">
        <f>IF(CY3&lt;'Data Entry'!$B$13,'Data Entry'!$K$106,0)</f>
        <v>0</v>
      </c>
    </row>
    <row r="102" spans="1:103" ht="15" customHeight="1" thickBot="1" x14ac:dyDescent="0.35">
      <c r="A102" s="732"/>
      <c r="B102" s="723"/>
      <c r="C102" s="72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5"/>
      <c r="AP102" s="4"/>
      <c r="AQ102" s="4"/>
      <c r="AR102" s="4"/>
      <c r="AS102" s="4"/>
      <c r="AT102" s="4"/>
      <c r="AU102" s="4"/>
      <c r="AV102" s="4"/>
      <c r="AW102" s="4"/>
      <c r="AX102" s="4"/>
      <c r="AY102" s="4"/>
      <c r="AZ102" s="4"/>
      <c r="BA102" s="4"/>
      <c r="BB102" s="4"/>
      <c r="BC102" s="4"/>
      <c r="BD102" s="4"/>
      <c r="BE102" s="4"/>
      <c r="BF102" s="4"/>
      <c r="BG102" s="4"/>
      <c r="BH102" s="4"/>
      <c r="BI102" s="4"/>
      <c r="BJ102" s="4"/>
      <c r="BK102" s="45"/>
      <c r="BL102" s="4"/>
      <c r="BM102" s="4"/>
      <c r="BN102" s="4"/>
      <c r="BO102" s="4"/>
      <c r="BP102" s="4"/>
      <c r="BQ102" s="4"/>
      <c r="BR102" s="4"/>
      <c r="BS102" s="4"/>
      <c r="BT102" s="4"/>
      <c r="BU102" s="4"/>
      <c r="BV102" s="4"/>
      <c r="BW102" s="4"/>
      <c r="BX102" s="4"/>
      <c r="BY102" s="4"/>
      <c r="BZ102" s="4"/>
      <c r="CA102" s="45"/>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576"/>
    </row>
    <row r="103" spans="1:103" s="42" customFormat="1" ht="15" customHeight="1" thickBot="1" x14ac:dyDescent="0.35">
      <c r="A103" s="777" t="s">
        <v>217</v>
      </c>
      <c r="B103" s="778"/>
      <c r="C103" s="115">
        <f>SUM(D103:CY103)</f>
        <v>0</v>
      </c>
      <c r="D103" s="116">
        <f>IF('Data Entry'!$H$5="3.5% Declining",D101*D76,D101/((1+D77)^D3))</f>
        <v>0</v>
      </c>
      <c r="E103" s="116">
        <f>IF('Data Entry'!$H$5="3.5% Declining",E101*E76,E101/((1+E77)^E3))</f>
        <v>0</v>
      </c>
      <c r="F103" s="116">
        <f>IF('Data Entry'!$H$5="3.5% Declining",F101*F76,F101/((1+F77)^F3))</f>
        <v>0</v>
      </c>
      <c r="G103" s="116">
        <f>IF('Data Entry'!$H$5="3.5% Declining",G101*G76,G101/((1+G77)^G3))</f>
        <v>0</v>
      </c>
      <c r="H103" s="116">
        <f>IF('Data Entry'!$H$5="3.5% Declining",H101*H76,H101/((1+H77)^H3))</f>
        <v>0</v>
      </c>
      <c r="I103" s="116">
        <f>IF('Data Entry'!$H$5="3.5% Declining",I101*I76,I101/((1+I77)^I3))</f>
        <v>0</v>
      </c>
      <c r="J103" s="116">
        <f>IF('Data Entry'!$H$5="3.5% Declining",J101*J76,J101/((1+J77)^J3))</f>
        <v>0</v>
      </c>
      <c r="K103" s="116">
        <f>IF('Data Entry'!$H$5="3.5% Declining",K101*K76,K101/((1+K77)^K3))</f>
        <v>0</v>
      </c>
      <c r="L103" s="116">
        <f>IF('Data Entry'!$H$5="3.5% Declining",L101*L76,L101/((1+L77)^L3))</f>
        <v>0</v>
      </c>
      <c r="M103" s="116">
        <f>IF('Data Entry'!$H$5="3.5% Declining",M101*M76,M101/((1+M77)^M3))</f>
        <v>0</v>
      </c>
      <c r="N103" s="116">
        <f>IF('Data Entry'!$H$5="3.5% Declining",N101*N76,N101/((1+N77)^N3))</f>
        <v>0</v>
      </c>
      <c r="O103" s="116">
        <f>IF('Data Entry'!$H$5="3.5% Declining",O101*O76,O101/((1+O77)^O3))</f>
        <v>0</v>
      </c>
      <c r="P103" s="116">
        <f>IF('Data Entry'!$H$5="3.5% Declining",P101*P76,P101/((1+P77)^P3))</f>
        <v>0</v>
      </c>
      <c r="Q103" s="116">
        <f>IF('Data Entry'!$H$5="3.5% Declining",Q101*Q76,Q101/((1+Q77)^Q3))</f>
        <v>0</v>
      </c>
      <c r="R103" s="116">
        <f>IF('Data Entry'!$H$5="3.5% Declining",R101*R76,R101/((1+R77)^R3))</f>
        <v>0</v>
      </c>
      <c r="S103" s="116">
        <f>IF('Data Entry'!$H$5="3.5% Declining",S101*S76,S101/((1+S77)^S3))</f>
        <v>0</v>
      </c>
      <c r="T103" s="116">
        <f>IF('Data Entry'!$H$5="3.5% Declining",T101*T76,T101/((1+T77)^T3))</f>
        <v>0</v>
      </c>
      <c r="U103" s="116">
        <f>IF('Data Entry'!$H$5="3.5% Declining",U101*U76,U101/((1+U77)^U3))</f>
        <v>0</v>
      </c>
      <c r="V103" s="116">
        <f>IF('Data Entry'!$H$5="3.5% Declining",V101*V76,V101/((1+V77)^V3))</f>
        <v>0</v>
      </c>
      <c r="W103" s="116">
        <f>IF('Data Entry'!$H$5="3.5% Declining",W101*W76,W101/((1+W77)^W3))</f>
        <v>0</v>
      </c>
      <c r="X103" s="116">
        <f>IF('Data Entry'!$H$5="3.5% Declining",X101*X76,X101/((1+X77)^X3))</f>
        <v>0</v>
      </c>
      <c r="Y103" s="116">
        <f>IF('Data Entry'!$H$5="3.5% Declining",Y101*Y76,Y101/((1+Y77)^Y3))</f>
        <v>0</v>
      </c>
      <c r="Z103" s="116">
        <f>IF('Data Entry'!$H$5="3.5% Declining",Z101*Z76,Z101/((1+Z77)^Z3))</f>
        <v>0</v>
      </c>
      <c r="AA103" s="116">
        <f>IF('Data Entry'!$H$5="3.5% Declining",AA101*AA76,AA101/((1+AA77)^AA3))</f>
        <v>0</v>
      </c>
      <c r="AB103" s="116">
        <f>IF('Data Entry'!$H$5="3.5% Declining",AB101*AB76,AB101/((1+AB77)^AB3))</f>
        <v>0</v>
      </c>
      <c r="AC103" s="116">
        <f>IF('Data Entry'!$H$5="3.5% Declining",AC101*AC76,AC101/((1+AC77)^AC3))</f>
        <v>0</v>
      </c>
      <c r="AD103" s="116">
        <f>IF('Data Entry'!$H$5="3.5% Declining",AD101*AD76,AD101/((1+AD77)^AD3))</f>
        <v>0</v>
      </c>
      <c r="AE103" s="116">
        <f>IF('Data Entry'!$H$5="3.5% Declining",AE101*AE76,AE101/((1+AE77)^AE3))</f>
        <v>0</v>
      </c>
      <c r="AF103" s="116">
        <f>IF('Data Entry'!$H$5="3.5% Declining",AF101*AF76,AF101/((1+AF77)^AF3))</f>
        <v>0</v>
      </c>
      <c r="AG103" s="116">
        <f>IF('Data Entry'!$H$5="3.5% Declining",AG101*AG76,AG101/((1+AG77)^AG3))</f>
        <v>0</v>
      </c>
      <c r="AH103" s="116">
        <f>IF('Data Entry'!$H$5="3.5% Declining",AH101*AH76,AH101/((1+AH77)^AH3))</f>
        <v>0</v>
      </c>
      <c r="AI103" s="116">
        <f>IF('Data Entry'!$H$5="3.5% Declining",AI101*AI76,AI101/((1+AI77)^AI3))</f>
        <v>0</v>
      </c>
      <c r="AJ103" s="116">
        <f>IF('Data Entry'!$H$5="3.5% Declining",AJ101*AJ76,AJ101/((1+AJ77)^AJ3))</f>
        <v>0</v>
      </c>
      <c r="AK103" s="116">
        <f>IF('Data Entry'!$H$5="3.5% Declining",AK101*AK76,AK101/((1+AK77)^AK3))</f>
        <v>0</v>
      </c>
      <c r="AL103" s="116">
        <f>IF('Data Entry'!$H$5="3.5% Declining",AL101*AL76,AL101/((1+AL77)^AL3))</f>
        <v>0</v>
      </c>
      <c r="AM103" s="116">
        <f>IF('Data Entry'!$H$5="3.5% Declining",AM101*AM76,AM101/((1+AM77)^AM3))</f>
        <v>0</v>
      </c>
      <c r="AN103" s="116">
        <f>IF('Data Entry'!$H$5="3.5% Declining",AN101*AN76,AN101/((1+AN77)^AN3))</f>
        <v>0</v>
      </c>
      <c r="AO103" s="561">
        <f>IF('Data Entry'!$H$5="3.5% Declining",AO101*AO76,AO101/((1+AO77)^AO3))</f>
        <v>0</v>
      </c>
      <c r="AP103" s="116">
        <f>IF('Data Entry'!$H$5="3.5% Declining",AP101*AP76,AP101/((1+AP77)^AP3))</f>
        <v>0</v>
      </c>
      <c r="AQ103" s="116">
        <f>IF('Data Entry'!$H$5="3.5% Declining",AQ101*AQ76,AQ101/((1+AQ77)^AQ3))</f>
        <v>0</v>
      </c>
      <c r="AR103" s="116">
        <f>IF('Data Entry'!$H$5="3.5% Declining",AR101*AR76,AR101/((1+AR77)^AR3))</f>
        <v>0</v>
      </c>
      <c r="AS103" s="116">
        <f>IF('Data Entry'!$H$5="3.5% Declining",AS101*AS76,AS101/((1+AS77)^AS3))</f>
        <v>0</v>
      </c>
      <c r="AT103" s="116">
        <f>IF('Data Entry'!$H$5="3.5% Declining",AT101*AT76,AT101/((1+AT77)^AT3))</f>
        <v>0</v>
      </c>
      <c r="AU103" s="116">
        <f>IF('Data Entry'!$H$5="3.5% Declining",AU101*AU76,AU101/((1+AU77)^AU3))</f>
        <v>0</v>
      </c>
      <c r="AV103" s="116">
        <f>IF('Data Entry'!$H$5="3.5% Declining",AV101*AV76,AV101/((1+AV77)^AV3))</f>
        <v>0</v>
      </c>
      <c r="AW103" s="116">
        <f>IF('Data Entry'!$H$5="3.5% Declining",AW101*AW76,AW101/((1+AW77)^AW3))</f>
        <v>0</v>
      </c>
      <c r="AX103" s="116">
        <f>IF('Data Entry'!$H$5="3.5% Declining",AX101*AX76,AX101/((1+AX77)^AX3))</f>
        <v>0</v>
      </c>
      <c r="AY103" s="116">
        <f>IF('Data Entry'!$H$5="3.5% Declining",AY101*AY76,AY101/((1+AY77)^AY3))</f>
        <v>0</v>
      </c>
      <c r="AZ103" s="116">
        <f>IF('Data Entry'!$H$5="3.5% Declining",AZ101*AZ76,AZ101/((1+AZ77)^AZ3))</f>
        <v>0</v>
      </c>
      <c r="BA103" s="116">
        <f>IF('Data Entry'!$H$5="3.5% Declining",BA101*BA76,BA101/((1+BA77)^BA3))</f>
        <v>0</v>
      </c>
      <c r="BB103" s="116">
        <f>IF('Data Entry'!$H$5="3.5% Declining",BB101*BB76,BB101/((1+BB77)^BB3))</f>
        <v>0</v>
      </c>
      <c r="BC103" s="116">
        <f>IF('Data Entry'!$H$5="3.5% Declining",BC101*BC76,BC101/((1+BC77)^BC3))</f>
        <v>0</v>
      </c>
      <c r="BD103" s="116">
        <f>IF('Data Entry'!$H$5="3.5% Declining",BD101*BD76,BD101/((1+BD77)^BD3))</f>
        <v>0</v>
      </c>
      <c r="BE103" s="116">
        <f>IF('Data Entry'!$H$5="3.5% Declining",BE101*BE76,BE101/((1+BE77)^BE3))</f>
        <v>0</v>
      </c>
      <c r="BF103" s="116">
        <f>IF('Data Entry'!$H$5="3.5% Declining",BF101*BF76,BF101/((1+BF77)^BF3))</f>
        <v>0</v>
      </c>
      <c r="BG103" s="116">
        <f>IF('Data Entry'!$H$5="3.5% Declining",BG101*BG76,BG101/((1+BG77)^BG3))</f>
        <v>0</v>
      </c>
      <c r="BH103" s="116">
        <f>IF('Data Entry'!$H$5="3.5% Declining",BH101*BH76,BH101/((1+BH77)^BH3))</f>
        <v>0</v>
      </c>
      <c r="BI103" s="116">
        <f>IF('Data Entry'!$H$5="3.5% Declining",BI101*BI76,BI101/((1+BI77)^BI3))</f>
        <v>0</v>
      </c>
      <c r="BJ103" s="116">
        <f>IF('Data Entry'!$H$5="3.5% Declining",BJ101*BJ76,BJ101/((1+BJ77)^BJ3))</f>
        <v>0</v>
      </c>
      <c r="BK103" s="561">
        <f>IF('Data Entry'!$H$5="3.5% Declining",BK101*BK76,BK101/((1+BK77)^BK3))</f>
        <v>0</v>
      </c>
      <c r="BL103" s="116">
        <f>IF('Data Entry'!$H$5="3.5% Declining",BL101*BL76,BL101/((1+BL77)^BL3))</f>
        <v>0</v>
      </c>
      <c r="BM103" s="116">
        <f>IF('Data Entry'!$H$5="3.5% Declining",BM101*BM76,BM101/((1+BM77)^BM3))</f>
        <v>0</v>
      </c>
      <c r="BN103" s="116">
        <f>IF('Data Entry'!$H$5="3.5% Declining",BN101*BN76,BN101/((1+BN77)^BN3))</f>
        <v>0</v>
      </c>
      <c r="BO103" s="116">
        <f>IF('Data Entry'!$H$5="3.5% Declining",BO101*BO76,BO101/((1+BO77)^BO3))</f>
        <v>0</v>
      </c>
      <c r="BP103" s="116">
        <f>IF('Data Entry'!$H$5="3.5% Declining",BP101*BP76,BP101/((1+BP77)^BP3))</f>
        <v>0</v>
      </c>
      <c r="BQ103" s="116">
        <f>IF('Data Entry'!$H$5="3.5% Declining",BQ101*BQ76,BQ101/((1+BQ77)^BQ3))</f>
        <v>0</v>
      </c>
      <c r="BR103" s="116">
        <f>IF('Data Entry'!$H$5="3.5% Declining",BR101*BR76,BR101/((1+BR77)^BR3))</f>
        <v>0</v>
      </c>
      <c r="BS103" s="116">
        <f>IF('Data Entry'!$H$5="3.5% Declining",BS101*BS76,BS101/((1+BS77)^BS3))</f>
        <v>0</v>
      </c>
      <c r="BT103" s="116">
        <f>IF('Data Entry'!$H$5="3.5% Declining",BT101*BT76,BT101/((1+BT77)^BT3))</f>
        <v>0</v>
      </c>
      <c r="BU103" s="116">
        <f>IF('Data Entry'!$H$5="3.5% Declining",BU101*BU76,BU101/((1+BU77)^BU3))</f>
        <v>0</v>
      </c>
      <c r="BV103" s="116">
        <f>IF('Data Entry'!$H$5="3.5% Declining",BV101*BV76,BV101/((1+BV77)^BV3))</f>
        <v>0</v>
      </c>
      <c r="BW103" s="116">
        <f>IF('Data Entry'!$H$5="3.5% Declining",BW101*BW76,BW101/((1+BW77)^BW3))</f>
        <v>0</v>
      </c>
      <c r="BX103" s="116">
        <f>IF('Data Entry'!$H$5="3.5% Declining",BX101*BX76,BX101/((1+BX77)^BX3))</f>
        <v>0</v>
      </c>
      <c r="BY103" s="116">
        <f>IF('Data Entry'!$H$5="3.5% Declining",BY101*BY76,BY101/((1+BY77)^BY3))</f>
        <v>0</v>
      </c>
      <c r="BZ103" s="116">
        <f>IF('Data Entry'!$H$5="3.5% Declining",BZ101*BZ76,BZ101/((1+BZ77)^BZ3))</f>
        <v>0</v>
      </c>
      <c r="CA103" s="561">
        <f>IF('Data Entry'!$H$5="3.5% Declining",CA101*CA76,CA101/((1+CA77)^CA3))</f>
        <v>0</v>
      </c>
      <c r="CB103" s="116">
        <f>IF('Data Entry'!$H$5="3.5% Declining",CB101*CB76,CB101/((1+CB77)^CB3))</f>
        <v>0</v>
      </c>
      <c r="CC103" s="116">
        <f>IF('Data Entry'!$H$5="3.5% Declining",CC101*CC76,CC101/((1+CC77)^CC3))</f>
        <v>0</v>
      </c>
      <c r="CD103" s="116">
        <f>IF('Data Entry'!$H$5="3.5% Declining",CD101*CD76,CD101/((1+CD77)^CD3))</f>
        <v>0</v>
      </c>
      <c r="CE103" s="116">
        <f>IF('Data Entry'!$H$5="3.5% Declining",CE101*CE76,CE101/((1+CE77)^CE3))</f>
        <v>0</v>
      </c>
      <c r="CF103" s="116">
        <f>IF('Data Entry'!$H$5="3.5% Declining",CF101*CF76,CF101/((1+CF77)^CF3))</f>
        <v>0</v>
      </c>
      <c r="CG103" s="116">
        <f>IF('Data Entry'!$H$5="3.5% Declining",CG101*CG76,CG101/((1+CG77)^CG3))</f>
        <v>0</v>
      </c>
      <c r="CH103" s="116">
        <f>IF('Data Entry'!$H$5="3.5% Declining",CH101*CH76,CH101/((1+CH77)^CH3))</f>
        <v>0</v>
      </c>
      <c r="CI103" s="116">
        <f>IF('Data Entry'!$H$5="3.5% Declining",CI101*CI76,CI101/((1+CI77)^CI3))</f>
        <v>0</v>
      </c>
      <c r="CJ103" s="116">
        <f>IF('Data Entry'!$H$5="3.5% Declining",CJ101*CJ76,CJ101/((1+CJ77)^CJ3))</f>
        <v>0</v>
      </c>
      <c r="CK103" s="116">
        <f>IF('Data Entry'!$H$5="3.5% Declining",CK101*CK76,CK101/((1+CK77)^CK3))</f>
        <v>0</v>
      </c>
      <c r="CL103" s="116">
        <f>IF('Data Entry'!$H$5="3.5% Declining",CL101*CL76,CL101/((1+CL77)^CL3))</f>
        <v>0</v>
      </c>
      <c r="CM103" s="116">
        <f>IF('Data Entry'!$H$5="3.5% Declining",CM101*CM76,CM101/((1+CM77)^CM3))</f>
        <v>0</v>
      </c>
      <c r="CN103" s="116">
        <f>IF('Data Entry'!$H$5="3.5% Declining",CN101*CN76,CN101/((1+CN77)^CN3))</f>
        <v>0</v>
      </c>
      <c r="CO103" s="116">
        <f>IF('Data Entry'!$H$5="3.5% Declining",CO101*CO76,CO101/((1+CO77)^CO3))</f>
        <v>0</v>
      </c>
      <c r="CP103" s="116">
        <f>IF('Data Entry'!$H$5="3.5% Declining",CP101*CP76,CP101/((1+CP77)^CP3))</f>
        <v>0</v>
      </c>
      <c r="CQ103" s="116">
        <f>IF('Data Entry'!$H$5="3.5% Declining",CQ101*CQ76,CQ101/((1+CQ77)^CQ3))</f>
        <v>0</v>
      </c>
      <c r="CR103" s="116">
        <f>IF('Data Entry'!$H$5="3.5% Declining",CR101*CR76,CR101/((1+CR77)^CR3))</f>
        <v>0</v>
      </c>
      <c r="CS103" s="116">
        <f>IF('Data Entry'!$H$5="3.5% Declining",CS101*CS76,CS101/((1+CS77)^CS3))</f>
        <v>0</v>
      </c>
      <c r="CT103" s="116">
        <f>IF('Data Entry'!$H$5="3.5% Declining",CT101*CT76,CT101/((1+CT77)^CT3))</f>
        <v>0</v>
      </c>
      <c r="CU103" s="116">
        <f>IF('Data Entry'!$H$5="3.5% Declining",CU101*CU76,CU101/((1+CU77)^CU3))</f>
        <v>0</v>
      </c>
      <c r="CV103" s="116">
        <f>IF('Data Entry'!$H$5="3.5% Declining",CV101*CV76,CV101/((1+CV77)^CV3))</f>
        <v>0</v>
      </c>
      <c r="CW103" s="116">
        <f>IF('Data Entry'!$H$5="3.5% Declining",CW101*CW76,CW101/((1+CW77)^CW3))</f>
        <v>0</v>
      </c>
      <c r="CX103" s="116">
        <f>IF('Data Entry'!$H$5="3.5% Declining",CX101*CX76,CX101/((1+CX77)^CX3))</f>
        <v>0</v>
      </c>
      <c r="CY103" s="568">
        <f>IF('Data Entry'!$H$5="3.5% Declining",CY101*CY76,CY101/((1+CY77)^CY3))</f>
        <v>0</v>
      </c>
    </row>
  </sheetData>
  <sheetProtection algorithmName="SHA-512" hashValue="NUgj+1ydYJZqYF+j6Y9zOp/psJ742rozJ28BXRXWjEQKluEBot3wKRwg9PoxT8/TVPBsdXMCw1obH6enagx3RA==" saltValue="g5ut92a2OeW5PtWfr66CAA==" spinCount="100000" sheet="1" objects="1" scenarios="1"/>
  <mergeCells count="4">
    <mergeCell ref="A45:A49"/>
    <mergeCell ref="A5:A30"/>
    <mergeCell ref="A32:A35"/>
    <mergeCell ref="A37:A40"/>
  </mergeCells>
  <phoneticPr fontId="2" type="noConversion"/>
  <dataValidations count="6">
    <dataValidation type="textLength" allowBlank="1" showInputMessage="1" showErrorMessage="1" sqref="B37:C40 B45:C49 B58:B60 B32:B33 B24 C7:C30 B26:B29 C32:C35 B13:B22 B9:B10" xr:uid="{00000000-0002-0000-0200-000000000000}">
      <formula1>0</formula1>
      <formula2>30</formula2>
    </dataValidation>
    <dataValidation type="textLength" errorStyle="information" allowBlank="1" showInputMessage="1" showErrorMessage="1" sqref="B56:B57" xr:uid="{00000000-0002-0000-0200-000001000000}">
      <formula1>0</formula1>
      <formula2>60</formula2>
    </dataValidation>
    <dataValidation type="decimal" operator="greaterThanOrEqual" allowBlank="1" showInputMessage="1" showErrorMessage="1" sqref="D55:CY60 AQ53 D52 CE12:CE24 CC53:CE53 CG53:CY53 Y45:CY48 E45:S46 Y16:AK17 CJ26:CY26 D45:D49 T45:X47 R30:CY30 CG12:CY17 T8:V24 AL11 O29:P29 W18:AK24 W12:W14 W8:AK11 Y12:AK14 W16:W17 W15:AK15 AL12:AN24 R17 R8:S16 M29:M30 D30:L30 AL8:AN10 AO9 AO8:CY8 AO19:AO24 D26:P28 AO12:AP18 BS52:BV52 BM11:BU11 AP26:AR27 E29:L29 BM12:BZ24 AQ15:BJ15 AS12:BJ14 AO10:BJ10 AQ9:BJ9 AN11:BJ11 AS16:BJ17 AW26:BN26 CF26 AT27:BN27 BM9:BZ10 AQ12:AQ14 BW11:BZ11 CC9:CD24 BP26:CD27 CF27:CY27 BK9:BK24 AQ16:AQ24 CE9:CY11 R26:AO29 CA9:CA24 CF18:CY24 Q26:Q30 AP28:CY29 E48:X48 E52:T53 U52 CV52:CY52 AI52:AJ52 Y52:Z52 AD52:AE52 W52 AB52 AG52 AL52 AN52:AQ52 AS52:AV52 AX52:BA52 BC52:BG52 BI52:BL52 BN52:BQ52 BX52:BZ52 CB52:CE52 CG52:CJ52 CL52:CO52 CQ52:CT52 U53:AO53 AS53:BK53 BM53:CA53 D37:CY37 R18:S24 D8:Q24 D32:CY35 D25:CY25 AR18:BJ24 N30:P30 E49:CY49" xr:uid="{00000000-0002-0000-0200-000002000000}">
      <formula1>0</formula1>
    </dataValidation>
    <dataValidation operator="greaterThanOrEqual" allowBlank="1" showInputMessage="1" showErrorMessage="1" sqref="E47:S47 D38:CY40 D51:CY51" xr:uid="{00000000-0002-0000-0200-000003000000}"/>
    <dataValidation type="textLength" allowBlank="1" showInputMessage="1" showErrorMessage="1" sqref="B23 B8 B11" xr:uid="{2EEBD1F9-27F2-4B63-8FDE-D15A4B002BD1}">
      <formula1>0</formula1>
      <formula2>60</formula2>
    </dataValidation>
    <dataValidation type="textLength" errorStyle="information" allowBlank="1" showInputMessage="1" showErrorMessage="1" sqref="B55" xr:uid="{CFCBD8D8-659A-428B-A81C-6304B499B8D1}">
      <formula1>0</formula1>
      <formula2>70</formula2>
    </dataValidation>
  </dataValidations>
  <pageMargins left="0.75" right="0.75" top="1" bottom="1" header="0.5" footer="0.5"/>
  <pageSetup paperSize="8" orientation="landscape" verticalDpi="9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tint="0.79998168889431442"/>
  </sheetPr>
  <dimension ref="B2:I42"/>
  <sheetViews>
    <sheetView zoomScale="85" zoomScaleNormal="85" workbookViewId="0">
      <selection activeCell="E5" sqref="E5"/>
    </sheetView>
  </sheetViews>
  <sheetFormatPr defaultRowHeight="13.5" x14ac:dyDescent="0.3"/>
  <cols>
    <col min="1" max="1" width="2" customWidth="1"/>
    <col min="2" max="2" width="14.84375" customWidth="1"/>
    <col min="3" max="3" width="19.15234375" customWidth="1"/>
    <col min="4" max="4" width="19.23046875" customWidth="1"/>
    <col min="5" max="5" width="19.61328125" customWidth="1"/>
    <col min="6" max="6" width="18" customWidth="1"/>
    <col min="7" max="7" width="12.84375" customWidth="1"/>
    <col min="8" max="8" width="25.3828125" customWidth="1"/>
  </cols>
  <sheetData>
    <row r="2" spans="2:7" ht="19.5" x14ac:dyDescent="0.35">
      <c r="B2" s="37" t="s">
        <v>433</v>
      </c>
    </row>
    <row r="4" spans="2:7" ht="17.5" customHeight="1" x14ac:dyDescent="0.3">
      <c r="B4" s="881" t="s">
        <v>434</v>
      </c>
      <c r="C4" s="882"/>
      <c r="D4" s="882"/>
      <c r="E4" s="803" t="s">
        <v>236</v>
      </c>
      <c r="F4" s="816" t="s">
        <v>131</v>
      </c>
      <c r="G4" s="87"/>
    </row>
    <row r="5" spans="2:7" ht="15" x14ac:dyDescent="0.3">
      <c r="B5" s="793" t="s">
        <v>557</v>
      </c>
      <c r="C5" s="794"/>
      <c r="D5" s="794"/>
      <c r="E5" s="801">
        <f ca="1">Cashflow!C96</f>
        <v>-6112</v>
      </c>
      <c r="F5" s="799" t="e">
        <f ca="1">E5/'Data Entry'!B11</f>
        <v>#DIV/0!</v>
      </c>
      <c r="G5" s="87"/>
    </row>
    <row r="6" spans="2:7" ht="15" x14ac:dyDescent="0.3">
      <c r="B6" s="793" t="s">
        <v>435</v>
      </c>
      <c r="C6" s="794"/>
      <c r="D6" s="794"/>
      <c r="E6" s="801">
        <f ca="1">Cashflow!C97</f>
        <v>-1695</v>
      </c>
      <c r="F6" s="799" t="e">
        <f ca="1">E6/'Data Entry'!B11</f>
        <v>#DIV/0!</v>
      </c>
      <c r="G6" s="87"/>
    </row>
    <row r="7" spans="2:7" ht="15" x14ac:dyDescent="0.3">
      <c r="B7" s="795" t="s">
        <v>436</v>
      </c>
      <c r="C7" s="796"/>
      <c r="D7" s="796"/>
      <c r="E7" s="802">
        <f>Cashflow!C103</f>
        <v>0</v>
      </c>
      <c r="F7" s="800" t="e">
        <f>E7/'Data Entry'!B11</f>
        <v>#DIV/0!</v>
      </c>
      <c r="G7" s="87"/>
    </row>
    <row r="8" spans="2:7" ht="15" x14ac:dyDescent="0.3">
      <c r="B8" s="797" t="s">
        <v>437</v>
      </c>
      <c r="C8" s="798"/>
      <c r="D8" s="798"/>
      <c r="E8" s="804" t="str">
        <f ca="1">IF(OR(E6&lt;0,E6&lt;0.95*E7),"PASS",IF(AND(E6&gt;=0.95*E7,E6&lt;E7),"Marginal Pass","FAIL"))</f>
        <v>PASS</v>
      </c>
      <c r="F8" s="87"/>
      <c r="G8" s="87"/>
    </row>
    <row r="9" spans="2:7" ht="15" x14ac:dyDescent="0.3">
      <c r="B9" s="87"/>
      <c r="C9" s="87"/>
      <c r="D9" s="87"/>
      <c r="E9" s="87"/>
      <c r="F9" s="87"/>
      <c r="G9" s="87"/>
    </row>
    <row r="10" spans="2:7" ht="19.5" x14ac:dyDescent="0.35">
      <c r="B10" s="37" t="s">
        <v>222</v>
      </c>
    </row>
    <row r="12" spans="2:7" ht="15" x14ac:dyDescent="0.3">
      <c r="B12" s="886" t="s">
        <v>286</v>
      </c>
      <c r="C12" s="883" t="s">
        <v>62</v>
      </c>
      <c r="D12" s="884"/>
      <c r="E12" s="884"/>
      <c r="F12" s="884"/>
      <c r="G12" s="885"/>
    </row>
    <row r="13" spans="2:7" ht="17.5" customHeight="1" x14ac:dyDescent="0.3">
      <c r="B13" s="887"/>
      <c r="C13" s="819" t="s">
        <v>4</v>
      </c>
      <c r="D13" s="821" t="s">
        <v>55</v>
      </c>
      <c r="E13" s="823" t="s">
        <v>56</v>
      </c>
      <c r="F13" s="825" t="s">
        <v>57</v>
      </c>
      <c r="G13" s="805" t="s">
        <v>7</v>
      </c>
    </row>
    <row r="14" spans="2:7" ht="15" x14ac:dyDescent="0.3">
      <c r="B14" s="807">
        <f ca="1">Cashflow!C93/Cashflow!C79</f>
        <v>0</v>
      </c>
      <c r="C14" s="820" t="e">
        <f>Cashflow!C83/Cashflow!C$93</f>
        <v>#DIV/0!</v>
      </c>
      <c r="D14" s="822" t="e">
        <f>Cashflow!C82/Cashflow!C$93</f>
        <v>#DIV/0!</v>
      </c>
      <c r="E14" s="824" t="e">
        <f>(Cashflow!C84+Cashflow!C85+Cashflow!C86)/Cashflow!C$93</f>
        <v>#DIV/0!</v>
      </c>
      <c r="F14" s="826" t="e">
        <f>SUM(Cashflow!C87:C92)/Cashflow!C$93</f>
        <v>#DIV/0!</v>
      </c>
      <c r="G14" s="806" t="e">
        <f>SUM(C14:F14)</f>
        <v>#DIV/0!</v>
      </c>
    </row>
    <row r="18" spans="5:9" x14ac:dyDescent="0.3">
      <c r="F18" s="346" t="s">
        <v>430</v>
      </c>
    </row>
    <row r="19" spans="5:9" x14ac:dyDescent="0.3">
      <c r="F19" s="20" t="s">
        <v>223</v>
      </c>
    </row>
    <row r="20" spans="5:9" x14ac:dyDescent="0.3">
      <c r="F20" s="20" t="s">
        <v>130</v>
      </c>
    </row>
    <row r="21" spans="5:9" ht="53.25" customHeight="1" x14ac:dyDescent="0.3">
      <c r="F21" s="888" t="s">
        <v>431</v>
      </c>
      <c r="G21" s="889"/>
      <c r="H21" s="889"/>
      <c r="I21" s="1"/>
    </row>
    <row r="22" spans="5:9" x14ac:dyDescent="0.3">
      <c r="F22" s="346" t="s">
        <v>432</v>
      </c>
      <c r="G22" s="1"/>
      <c r="H22" s="1"/>
      <c r="I22" s="1"/>
    </row>
    <row r="27" spans="5:9" x14ac:dyDescent="0.3">
      <c r="E27" s="779"/>
    </row>
    <row r="34" spans="2:7" ht="12.75" customHeight="1" x14ac:dyDescent="0.3"/>
    <row r="42" spans="2:7" s="6" customFormat="1" ht="24" customHeight="1" x14ac:dyDescent="0.3">
      <c r="B42" s="817" t="s">
        <v>556</v>
      </c>
      <c r="C42" s="818"/>
      <c r="D42" s="818"/>
      <c r="E42" s="818"/>
      <c r="F42" s="818"/>
      <c r="G42" s="818"/>
    </row>
  </sheetData>
  <sheetProtection algorithmName="SHA-512" hashValue="Ww9qVwKKwDx/zggOhR2ugNwvpnzeC1k786YnHTogfjSo+a5XZlrPUwA1ClQWeQr9DhWE6W1J3NkGhZCGuclddA==" saltValue="kBf5ivmcnfYApRgNOg3ezA==" spinCount="100000" sheet="1" objects="1" scenarios="1"/>
  <mergeCells count="4">
    <mergeCell ref="B4:D4"/>
    <mergeCell ref="C12:G12"/>
    <mergeCell ref="B12:B13"/>
    <mergeCell ref="F21:H21"/>
  </mergeCells>
  <conditionalFormatting sqref="E8">
    <cfRule type="expression" dxfId="2" priority="59" stopIfTrue="1">
      <formula>AND(E6&gt;=0.95*E7,E6&lt;E7)</formula>
    </cfRule>
    <cfRule type="expression" dxfId="1" priority="60" stopIfTrue="1">
      <formula>E8="FAIL"</formula>
    </cfRule>
    <cfRule type="expression" dxfId="0" priority="61" stopIfTrue="1">
      <formula>E8="PASS"</formula>
    </cfRule>
  </conditionalFormatting>
  <pageMargins left="0.7" right="0.7" top="0.75" bottom="0.75" header="0.3" footer="0.3"/>
  <pageSetup paperSize="9"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67B82-CDD5-4F16-B706-96D2D6D25AF6}">
  <sheetPr codeName="Sheet5">
    <tabColor theme="3" tint="0.79998168889431442"/>
  </sheetPr>
  <dimension ref="A1:B9"/>
  <sheetViews>
    <sheetView zoomScale="70" zoomScaleNormal="70" workbookViewId="0"/>
  </sheetViews>
  <sheetFormatPr defaultRowHeight="13.5" x14ac:dyDescent="0.3"/>
  <cols>
    <col min="1" max="1" width="54.23046875" customWidth="1"/>
    <col min="2" max="2" width="110.15234375" style="1" customWidth="1"/>
  </cols>
  <sheetData>
    <row r="1" spans="1:2" s="92" customFormat="1" ht="50.15" customHeight="1" thickBot="1" x14ac:dyDescent="0.35">
      <c r="A1" s="250" t="s">
        <v>601</v>
      </c>
      <c r="B1" s="91"/>
    </row>
    <row r="2" spans="1:2" s="92" customFormat="1" ht="50.15" customHeight="1" thickBot="1" x14ac:dyDescent="0.35">
      <c r="A2" s="389" t="s">
        <v>560</v>
      </c>
      <c r="B2" s="90" t="s">
        <v>593</v>
      </c>
    </row>
    <row r="3" spans="1:2" s="87" customFormat="1" ht="66" customHeight="1" thickBot="1" x14ac:dyDescent="0.35">
      <c r="A3" s="389" t="s">
        <v>561</v>
      </c>
      <c r="B3" s="90" t="s">
        <v>594</v>
      </c>
    </row>
    <row r="4" spans="1:2" s="87" customFormat="1" ht="83" customHeight="1" thickBot="1" x14ac:dyDescent="0.35">
      <c r="A4" s="89" t="s">
        <v>595</v>
      </c>
      <c r="B4" s="90" t="s">
        <v>606</v>
      </c>
    </row>
    <row r="5" spans="1:2" s="87" customFormat="1" ht="113.5" customHeight="1" thickBot="1" x14ac:dyDescent="0.35">
      <c r="A5" s="811" t="s">
        <v>562</v>
      </c>
      <c r="B5" s="89" t="s">
        <v>598</v>
      </c>
    </row>
    <row r="6" spans="1:2" s="87" customFormat="1" ht="114" customHeight="1" thickBot="1" x14ac:dyDescent="0.35">
      <c r="A6" s="389" t="s">
        <v>563</v>
      </c>
      <c r="B6" s="89" t="s">
        <v>596</v>
      </c>
    </row>
    <row r="7" spans="1:2" s="87" customFormat="1" ht="96" customHeight="1" thickBot="1" x14ac:dyDescent="0.35">
      <c r="A7" s="89" t="s">
        <v>564</v>
      </c>
      <c r="B7" s="89" t="s">
        <v>597</v>
      </c>
    </row>
    <row r="8" spans="1:2" s="87" customFormat="1" ht="147" customHeight="1" thickBot="1" x14ac:dyDescent="0.35">
      <c r="A8" s="812" t="s">
        <v>599</v>
      </c>
      <c r="B8" s="812" t="s">
        <v>600</v>
      </c>
    </row>
    <row r="9" spans="1:2" ht="52.5" customHeight="1" thickBot="1" x14ac:dyDescent="0.35">
      <c r="A9" s="89" t="s">
        <v>565</v>
      </c>
      <c r="B9" s="89" t="s">
        <v>575</v>
      </c>
    </row>
  </sheetData>
  <sheetProtection algorithmName="SHA-512" hashValue="nwl27UVuwXkphHyhBu5MCInzKL9L1rxZb8kFNERt7b4rHDplUN89FzAj0lnxZHqim/QnglOKB3Mi2MsvX4S1HQ==" saltValue="bdiNrTuN/C/sg51ignMP/g==" spinCount="100000"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3" tint="0.79998168889431442"/>
  </sheetPr>
  <dimension ref="A1:L36"/>
  <sheetViews>
    <sheetView workbookViewId="0"/>
  </sheetViews>
  <sheetFormatPr defaultColWidth="9" defaultRowHeight="13.5" x14ac:dyDescent="0.3"/>
  <cols>
    <col min="1" max="1" width="32.61328125" customWidth="1"/>
    <col min="2" max="2" width="29.4609375" customWidth="1"/>
    <col min="3" max="3" width="21.3828125" customWidth="1"/>
    <col min="4" max="4" width="11.15234375" customWidth="1"/>
    <col min="5" max="5" width="12.23046875" customWidth="1"/>
    <col min="6" max="6" width="24.15234375" style="244" customWidth="1"/>
    <col min="7" max="7" width="9.3046875" style="109" customWidth="1"/>
    <col min="8" max="8" width="17" style="240" customWidth="1"/>
    <col min="9" max="9" width="6.3828125" customWidth="1"/>
    <col min="10" max="10" width="28.61328125" customWidth="1"/>
    <col min="11" max="11" width="15.84375" customWidth="1"/>
    <col min="12" max="12" width="36.07421875" style="183" customWidth="1"/>
  </cols>
  <sheetData>
    <row r="1" spans="1:12" ht="19.5" x14ac:dyDescent="0.35">
      <c r="A1" s="37" t="s">
        <v>412</v>
      </c>
      <c r="B1" s="19"/>
      <c r="C1" s="19"/>
      <c r="D1" s="19"/>
      <c r="E1" s="19"/>
      <c r="F1" s="528"/>
      <c r="J1" s="37" t="s">
        <v>157</v>
      </c>
    </row>
    <row r="2" spans="1:12" ht="15" customHeight="1" x14ac:dyDescent="0.35">
      <c r="C2" s="19"/>
      <c r="D2" s="19"/>
      <c r="G2" s="529"/>
      <c r="H2" s="530"/>
      <c r="J2" s="37"/>
    </row>
    <row r="3" spans="1:12" ht="54" x14ac:dyDescent="0.3">
      <c r="A3" s="214"/>
      <c r="B3" s="215" t="s">
        <v>392</v>
      </c>
      <c r="C3" s="215" t="s">
        <v>393</v>
      </c>
      <c r="D3" s="215" t="s">
        <v>225</v>
      </c>
      <c r="E3" s="216" t="s">
        <v>206</v>
      </c>
      <c r="F3" s="163" t="s">
        <v>378</v>
      </c>
      <c r="G3" s="195" t="s">
        <v>98</v>
      </c>
      <c r="H3" s="155" t="s">
        <v>394</v>
      </c>
      <c r="J3" s="217" t="s">
        <v>207</v>
      </c>
      <c r="K3" s="218" t="s">
        <v>391</v>
      </c>
      <c r="L3" s="218" t="s">
        <v>158</v>
      </c>
    </row>
    <row r="4" spans="1:12" ht="30.75" customHeight="1" x14ac:dyDescent="0.3">
      <c r="A4" s="214" t="s">
        <v>384</v>
      </c>
      <c r="B4" s="214"/>
      <c r="C4" s="214"/>
      <c r="D4" s="214"/>
      <c r="E4" s="214"/>
      <c r="F4" s="166"/>
      <c r="G4" s="219"/>
      <c r="H4" s="165" t="s">
        <v>377</v>
      </c>
      <c r="J4" s="104" t="s">
        <v>390</v>
      </c>
      <c r="K4" s="480">
        <v>23.3</v>
      </c>
      <c r="L4" s="838" t="s">
        <v>581</v>
      </c>
    </row>
    <row r="5" spans="1:12" ht="16" customHeight="1" x14ac:dyDescent="0.3">
      <c r="A5" s="477" t="s">
        <v>549</v>
      </c>
      <c r="B5" s="220">
        <v>38</v>
      </c>
      <c r="C5" s="221">
        <v>24</v>
      </c>
      <c r="D5" s="221">
        <v>2</v>
      </c>
      <c r="E5" s="220">
        <v>449</v>
      </c>
      <c r="F5" s="185">
        <v>36.75</v>
      </c>
      <c r="G5" s="193">
        <f>E5*F5</f>
        <v>16500.75</v>
      </c>
      <c r="H5" s="164">
        <f>0.005*G5</f>
        <v>82.503749999999997</v>
      </c>
      <c r="J5" s="256"/>
      <c r="K5" s="481"/>
      <c r="L5" s="386"/>
    </row>
    <row r="6" spans="1:12" ht="15" customHeight="1" x14ac:dyDescent="0.3">
      <c r="A6" s="477" t="s">
        <v>550</v>
      </c>
      <c r="B6" s="220">
        <v>76</v>
      </c>
      <c r="C6" s="221">
        <v>8</v>
      </c>
      <c r="D6" s="221">
        <v>2</v>
      </c>
      <c r="E6" s="220">
        <v>310</v>
      </c>
      <c r="F6" s="185">
        <v>36.75</v>
      </c>
      <c r="G6" s="193">
        <f>E6*F6</f>
        <v>11392.5</v>
      </c>
      <c r="H6" s="164">
        <f>0.005*G6</f>
        <v>56.962499999999999</v>
      </c>
    </row>
    <row r="7" spans="1:12" ht="15" customHeight="1" x14ac:dyDescent="0.3">
      <c r="A7" s="477" t="s">
        <v>551</v>
      </c>
      <c r="B7" s="220">
        <v>60</v>
      </c>
      <c r="C7" s="221">
        <v>16</v>
      </c>
      <c r="D7" s="221">
        <v>2</v>
      </c>
      <c r="E7" s="220">
        <v>482</v>
      </c>
      <c r="F7" s="185">
        <v>36.75</v>
      </c>
      <c r="G7" s="193">
        <f>E7*F7</f>
        <v>17713.5</v>
      </c>
      <c r="H7" s="164">
        <f>0.005*G7</f>
        <v>88.567499999999995</v>
      </c>
    </row>
    <row r="8" spans="1:12" ht="15" customHeight="1" x14ac:dyDescent="0.3">
      <c r="A8" s="220"/>
      <c r="B8" s="220"/>
      <c r="C8" s="220"/>
      <c r="D8" s="220"/>
      <c r="E8" s="220"/>
      <c r="F8" s="185"/>
      <c r="G8" s="193"/>
      <c r="H8" s="222"/>
      <c r="J8" s="66" t="s">
        <v>208</v>
      </c>
      <c r="K8" s="201"/>
      <c r="L8" s="223"/>
    </row>
    <row r="9" spans="1:12" ht="15" customHeight="1" x14ac:dyDescent="0.3">
      <c r="A9" s="214" t="s">
        <v>383</v>
      </c>
      <c r="B9" s="214"/>
      <c r="C9" s="214"/>
      <c r="D9" s="214"/>
      <c r="E9" s="214"/>
      <c r="F9" s="224"/>
      <c r="G9" s="219"/>
      <c r="H9" s="483"/>
      <c r="J9" s="589" t="s">
        <v>552</v>
      </c>
      <c r="K9" s="537"/>
      <c r="L9" s="526"/>
    </row>
    <row r="10" spans="1:12" ht="15" customHeight="1" x14ac:dyDescent="0.3">
      <c r="A10" s="167" t="s">
        <v>154</v>
      </c>
      <c r="B10" s="225" t="s">
        <v>127</v>
      </c>
      <c r="C10" s="226">
        <v>24</v>
      </c>
      <c r="D10" s="226">
        <v>2</v>
      </c>
      <c r="E10" s="226">
        <v>84</v>
      </c>
      <c r="F10" s="185">
        <v>36.75</v>
      </c>
      <c r="G10" s="227">
        <f>E10*F10</f>
        <v>3087</v>
      </c>
      <c r="H10" s="228"/>
      <c r="I10" s="20"/>
      <c r="J10" s="531" t="s">
        <v>209</v>
      </c>
      <c r="K10" s="532"/>
      <c r="L10" s="533"/>
    </row>
    <row r="11" spans="1:12" ht="15" customHeight="1" x14ac:dyDescent="0.3">
      <c r="A11" s="229" t="s">
        <v>151</v>
      </c>
      <c r="B11" s="230" t="s">
        <v>153</v>
      </c>
      <c r="C11" s="231"/>
      <c r="D11" s="231"/>
      <c r="E11" s="231"/>
      <c r="F11" s="185">
        <v>36.75</v>
      </c>
      <c r="G11" s="232"/>
      <c r="H11" s="228"/>
      <c r="J11" s="534" t="s">
        <v>212</v>
      </c>
      <c r="K11" s="535"/>
      <c r="L11" s="536"/>
    </row>
    <row r="12" spans="1:12" ht="15" customHeight="1" x14ac:dyDescent="0.3">
      <c r="A12" s="233" t="s">
        <v>152</v>
      </c>
      <c r="B12" s="234">
        <v>94</v>
      </c>
      <c r="C12" s="235"/>
      <c r="D12" s="235"/>
      <c r="E12" s="235"/>
      <c r="F12" s="185">
        <v>36.75</v>
      </c>
      <c r="G12" s="236"/>
      <c r="H12" s="228"/>
    </row>
    <row r="13" spans="1:12" ht="15" customHeight="1" x14ac:dyDescent="0.3">
      <c r="A13" s="353" t="s">
        <v>385</v>
      </c>
      <c r="B13" s="230" t="s">
        <v>243</v>
      </c>
      <c r="C13" s="231">
        <v>8</v>
      </c>
      <c r="D13" s="231">
        <v>2</v>
      </c>
      <c r="E13" s="231">
        <v>28</v>
      </c>
      <c r="F13" s="185">
        <v>36.75</v>
      </c>
      <c r="G13" s="227">
        <f>E13*F13</f>
        <v>1029</v>
      </c>
      <c r="H13" s="228"/>
    </row>
    <row r="14" spans="1:12" ht="15" customHeight="1" x14ac:dyDescent="0.3">
      <c r="A14" s="167" t="s">
        <v>155</v>
      </c>
      <c r="B14" s="225" t="s">
        <v>128</v>
      </c>
      <c r="C14" s="237">
        <v>16</v>
      </c>
      <c r="D14" s="237">
        <v>2</v>
      </c>
      <c r="E14" s="226">
        <v>56</v>
      </c>
      <c r="F14" s="185">
        <v>36.75</v>
      </c>
      <c r="G14" s="227">
        <f t="shared" ref="G14:G29" si="0">E14*F14</f>
        <v>2058</v>
      </c>
      <c r="H14" s="228"/>
    </row>
    <row r="15" spans="1:12" ht="15" customHeight="1" x14ac:dyDescent="0.3">
      <c r="A15" s="233" t="s">
        <v>156</v>
      </c>
      <c r="B15" s="234" t="s">
        <v>221</v>
      </c>
      <c r="C15" s="235"/>
      <c r="D15" s="235"/>
      <c r="E15" s="235"/>
      <c r="F15" s="185">
        <v>36.75</v>
      </c>
      <c r="G15" s="236"/>
      <c r="H15" s="228"/>
    </row>
    <row r="16" spans="1:12" ht="29.25" customHeight="1" x14ac:dyDescent="0.3">
      <c r="A16" s="214" t="s">
        <v>382</v>
      </c>
      <c r="B16" s="168"/>
      <c r="C16" s="238"/>
      <c r="D16" s="238"/>
      <c r="E16" s="238"/>
      <c r="F16" s="166"/>
      <c r="G16" s="239"/>
    </row>
    <row r="17" spans="1:9" ht="15" customHeight="1" x14ac:dyDescent="0.3">
      <c r="A17" s="220" t="s">
        <v>102</v>
      </c>
      <c r="B17" s="220">
        <v>20</v>
      </c>
      <c r="C17" s="220">
        <v>4</v>
      </c>
      <c r="D17" s="220">
        <v>1.5</v>
      </c>
      <c r="E17" s="220">
        <v>3</v>
      </c>
      <c r="F17" s="185">
        <v>30.04</v>
      </c>
      <c r="G17" s="198">
        <f>E17*F17</f>
        <v>90.12</v>
      </c>
    </row>
    <row r="18" spans="1:9" ht="15" customHeight="1" x14ac:dyDescent="0.3">
      <c r="A18" s="220"/>
      <c r="B18" s="220">
        <v>25</v>
      </c>
      <c r="C18" s="220">
        <v>4</v>
      </c>
      <c r="D18" s="220">
        <v>1.5</v>
      </c>
      <c r="E18" s="220">
        <v>14</v>
      </c>
      <c r="F18" s="185">
        <v>30.04</v>
      </c>
      <c r="G18" s="198">
        <f t="shared" si="0"/>
        <v>420.56</v>
      </c>
      <c r="H18" s="228"/>
    </row>
    <row r="19" spans="1:9" ht="15" customHeight="1" x14ac:dyDescent="0.3">
      <c r="A19" s="220"/>
      <c r="B19" s="220">
        <v>30</v>
      </c>
      <c r="C19" s="220">
        <v>4</v>
      </c>
      <c r="D19" s="220">
        <v>1.5</v>
      </c>
      <c r="E19" s="220">
        <v>14</v>
      </c>
      <c r="F19" s="185">
        <v>30.04</v>
      </c>
      <c r="G19" s="198">
        <f t="shared" si="0"/>
        <v>420.56</v>
      </c>
      <c r="H19" s="228"/>
    </row>
    <row r="20" spans="1:9" ht="15" customHeight="1" x14ac:dyDescent="0.3">
      <c r="A20" s="220"/>
      <c r="B20" s="220">
        <v>35</v>
      </c>
      <c r="C20" s="220">
        <v>4</v>
      </c>
      <c r="D20" s="220">
        <v>1.5</v>
      </c>
      <c r="E20" s="220">
        <v>14</v>
      </c>
      <c r="F20" s="185">
        <v>30.04</v>
      </c>
      <c r="G20" s="198">
        <f t="shared" si="0"/>
        <v>420.56</v>
      </c>
      <c r="H20" s="228"/>
    </row>
    <row r="21" spans="1:9" ht="15" customHeight="1" x14ac:dyDescent="0.3">
      <c r="A21" s="220"/>
      <c r="B21" s="220">
        <v>40</v>
      </c>
      <c r="C21" s="220">
        <v>4</v>
      </c>
      <c r="D21" s="220">
        <v>1.5</v>
      </c>
      <c r="E21" s="220">
        <v>14</v>
      </c>
      <c r="F21" s="185">
        <v>30.04</v>
      </c>
      <c r="G21" s="198">
        <f t="shared" si="0"/>
        <v>420.56</v>
      </c>
      <c r="H21" s="228"/>
    </row>
    <row r="22" spans="1:9" ht="15" customHeight="1" x14ac:dyDescent="0.3">
      <c r="A22" s="220"/>
      <c r="B22" s="220">
        <v>45</v>
      </c>
      <c r="C22" s="220">
        <v>4</v>
      </c>
      <c r="D22" s="220">
        <v>1.5</v>
      </c>
      <c r="E22" s="220">
        <v>14</v>
      </c>
      <c r="F22" s="185">
        <v>30.04</v>
      </c>
      <c r="G22" s="198">
        <f t="shared" si="0"/>
        <v>420.56</v>
      </c>
      <c r="H22" s="228"/>
    </row>
    <row r="23" spans="1:9" ht="15" customHeight="1" x14ac:dyDescent="0.3">
      <c r="A23" s="220"/>
      <c r="B23" s="220">
        <v>50</v>
      </c>
      <c r="C23" s="220">
        <v>4</v>
      </c>
      <c r="D23" s="220">
        <v>1.5</v>
      </c>
      <c r="E23" s="220">
        <v>11</v>
      </c>
      <c r="F23" s="185">
        <v>30.04</v>
      </c>
      <c r="G23" s="198">
        <f t="shared" si="0"/>
        <v>330.44</v>
      </c>
      <c r="H23" s="228"/>
    </row>
    <row r="24" spans="1:9" ht="15" customHeight="1" x14ac:dyDescent="0.3">
      <c r="A24" s="220"/>
      <c r="B24" s="220">
        <v>55</v>
      </c>
      <c r="C24" s="220">
        <v>4</v>
      </c>
      <c r="D24" s="220">
        <v>1.5</v>
      </c>
      <c r="E24" s="220">
        <v>9</v>
      </c>
      <c r="F24" s="185">
        <v>30.04</v>
      </c>
      <c r="G24" s="198">
        <f t="shared" si="0"/>
        <v>270.36</v>
      </c>
      <c r="H24" s="228"/>
    </row>
    <row r="25" spans="1:9" ht="15" customHeight="1" x14ac:dyDescent="0.3">
      <c r="A25" s="220"/>
      <c r="B25" s="220">
        <v>60</v>
      </c>
      <c r="C25" s="220">
        <v>4</v>
      </c>
      <c r="D25" s="220">
        <v>1.5</v>
      </c>
      <c r="E25" s="220">
        <v>7</v>
      </c>
      <c r="F25" s="185">
        <v>30.04</v>
      </c>
      <c r="G25" s="198">
        <f t="shared" si="0"/>
        <v>210.28</v>
      </c>
      <c r="H25" s="228"/>
    </row>
    <row r="26" spans="1:9" ht="15" customHeight="1" x14ac:dyDescent="0.3">
      <c r="A26" s="220"/>
      <c r="B26" s="220">
        <v>65</v>
      </c>
      <c r="C26" s="220">
        <v>4</v>
      </c>
      <c r="D26" s="220">
        <v>1.5</v>
      </c>
      <c r="E26" s="220">
        <v>6</v>
      </c>
      <c r="F26" s="185">
        <v>30.04</v>
      </c>
      <c r="G26" s="198">
        <f t="shared" si="0"/>
        <v>180.24</v>
      </c>
      <c r="H26" s="228"/>
    </row>
    <row r="27" spans="1:9" ht="15" customHeight="1" x14ac:dyDescent="0.3">
      <c r="A27" s="220"/>
      <c r="B27" s="220">
        <v>70</v>
      </c>
      <c r="C27" s="220">
        <v>4</v>
      </c>
      <c r="D27" s="220">
        <v>1.5</v>
      </c>
      <c r="E27" s="220">
        <v>5</v>
      </c>
      <c r="F27" s="185">
        <v>30.04</v>
      </c>
      <c r="G27" s="198">
        <f t="shared" si="0"/>
        <v>150.19999999999999</v>
      </c>
      <c r="H27" s="228"/>
    </row>
    <row r="28" spans="1:9" ht="15" customHeight="1" x14ac:dyDescent="0.3">
      <c r="A28" s="220"/>
      <c r="B28" s="220">
        <v>75</v>
      </c>
      <c r="C28" s="220">
        <v>4</v>
      </c>
      <c r="D28" s="220">
        <v>1.5</v>
      </c>
      <c r="E28" s="220">
        <v>4</v>
      </c>
      <c r="F28" s="185">
        <v>30.04</v>
      </c>
      <c r="G28" s="198">
        <f t="shared" si="0"/>
        <v>120.16</v>
      </c>
      <c r="H28" s="228"/>
    </row>
    <row r="29" spans="1:9" ht="15" customHeight="1" x14ac:dyDescent="0.3">
      <c r="A29" s="220"/>
      <c r="B29" s="220">
        <v>80</v>
      </c>
      <c r="C29" s="220">
        <v>4</v>
      </c>
      <c r="D29" s="220">
        <v>1.5</v>
      </c>
      <c r="E29" s="220">
        <v>3</v>
      </c>
      <c r="F29" s="185">
        <v>30.04</v>
      </c>
      <c r="G29" s="198">
        <f t="shared" si="0"/>
        <v>90.12</v>
      </c>
      <c r="H29" s="228"/>
      <c r="I29" s="20"/>
    </row>
    <row r="30" spans="1:9" ht="15" customHeight="1" x14ac:dyDescent="0.3">
      <c r="A30" s="220"/>
      <c r="B30" s="479" t="s">
        <v>389</v>
      </c>
      <c r="C30" s="220">
        <v>4</v>
      </c>
      <c r="D30" s="6"/>
      <c r="E30" s="6"/>
      <c r="F30" s="199"/>
      <c r="G30" s="241"/>
      <c r="H30" s="228"/>
      <c r="I30" s="20"/>
    </row>
    <row r="31" spans="1:9" ht="15" customHeight="1" x14ac:dyDescent="0.3">
      <c r="A31" s="242"/>
      <c r="B31" s="243"/>
      <c r="I31" s="20"/>
    </row>
    <row r="32" spans="1:9" ht="15" customHeight="1" x14ac:dyDescent="0.3">
      <c r="A32" s="245" t="s">
        <v>148</v>
      </c>
      <c r="B32" s="478" t="s">
        <v>197</v>
      </c>
      <c r="C32" s="478" t="s">
        <v>198</v>
      </c>
      <c r="D32" s="19"/>
    </row>
    <row r="33" spans="1:4" ht="20.25" customHeight="1" x14ac:dyDescent="0.3">
      <c r="A33" s="890" t="s">
        <v>386</v>
      </c>
      <c r="B33" s="892" t="s">
        <v>387</v>
      </c>
      <c r="C33" s="118" t="s">
        <v>210</v>
      </c>
      <c r="D33" s="117"/>
    </row>
    <row r="34" spans="1:4" x14ac:dyDescent="0.3">
      <c r="A34" s="891"/>
      <c r="B34" s="863"/>
      <c r="C34" s="120"/>
      <c r="D34" s="117"/>
    </row>
    <row r="35" spans="1:4" ht="27" x14ac:dyDescent="0.3">
      <c r="A35" s="247" t="s">
        <v>149</v>
      </c>
      <c r="B35" s="460" t="s">
        <v>379</v>
      </c>
      <c r="C35" s="121" t="s">
        <v>211</v>
      </c>
      <c r="D35" s="117"/>
    </row>
    <row r="36" spans="1:4" ht="67.5" x14ac:dyDescent="0.3">
      <c r="A36" s="246" t="s">
        <v>150</v>
      </c>
      <c r="B36" s="474" t="s">
        <v>388</v>
      </c>
      <c r="C36" s="475" t="s">
        <v>214</v>
      </c>
      <c r="D36" s="117"/>
    </row>
  </sheetData>
  <sheetProtection algorithmName="SHA-512" hashValue="6SAMFpeXwtyuOjHXwRLdkCRzapZ6A2iMcimKBIi7dCkr0nz0uVMg3N8CVJAF24lLrrQkgNAjerXf1BJfCO1r7Q==" saltValue="kIRyq0QvzayOHbcYi4Dl3g==" spinCount="100000" sheet="1" objects="1" scenarios="1"/>
  <mergeCells count="2">
    <mergeCell ref="A33:A34"/>
    <mergeCell ref="B33:B34"/>
  </mergeCells>
  <hyperlinks>
    <hyperlink ref="C33" r:id="rId1" xr:uid="{00000000-0004-0000-0500-000000000000}"/>
    <hyperlink ref="C35" r:id="rId2" xr:uid="{00000000-0004-0000-0500-000001000000}"/>
    <hyperlink ref="C36" r:id="rId3" xr:uid="{60CD4DBD-CA77-4B4B-982D-41A1C4A1CCBA}"/>
    <hyperlink ref="L4" r:id="rId4" xr:uid="{62962A4B-CFAA-4FCB-BCB3-3C2D5F6E3F14}"/>
  </hyperlinks>
  <pageMargins left="0.7" right="0.7" top="0.75" bottom="0.75" header="0.3" footer="0.3"/>
  <pageSetup paperSize="9" orientation="portrait" horizontalDpi="90" verticalDpi="90"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3" tint="0.79998168889431442"/>
  </sheetPr>
  <dimension ref="A1:I166"/>
  <sheetViews>
    <sheetView zoomScaleNormal="100" workbookViewId="0"/>
  </sheetViews>
  <sheetFormatPr defaultColWidth="9" defaultRowHeight="13.5" x14ac:dyDescent="0.3"/>
  <cols>
    <col min="1" max="1" width="30.23046875" style="19" customWidth="1"/>
    <col min="2" max="2" width="33.4609375" customWidth="1"/>
    <col min="3" max="3" width="14.61328125" style="199" customWidth="1"/>
    <col min="4" max="4" width="21.765625" customWidth="1"/>
    <col min="5" max="5" width="25.4609375" style="182" customWidth="1"/>
    <col min="6" max="6" width="83.53515625" style="183" customWidth="1"/>
    <col min="7" max="7" width="19.84375" customWidth="1"/>
    <col min="8" max="8" width="9.61328125" customWidth="1"/>
  </cols>
  <sheetData>
    <row r="1" spans="1:7" ht="19.5" x14ac:dyDescent="0.35">
      <c r="A1" s="180" t="s">
        <v>411</v>
      </c>
      <c r="B1" s="181"/>
      <c r="C1" s="461"/>
    </row>
    <row r="2" spans="1:7" ht="21.75" customHeight="1" x14ac:dyDescent="0.3">
      <c r="A2" s="217" t="s">
        <v>159</v>
      </c>
      <c r="B2" s="217" t="s">
        <v>161</v>
      </c>
      <c r="C2" s="462" t="s">
        <v>89</v>
      </c>
      <c r="D2" s="206" t="s">
        <v>91</v>
      </c>
      <c r="E2" s="208" t="s">
        <v>1</v>
      </c>
      <c r="F2" s="208" t="s">
        <v>229</v>
      </c>
    </row>
    <row r="3" spans="1:7" ht="27" x14ac:dyDescent="0.3">
      <c r="A3" s="467" t="s">
        <v>446</v>
      </c>
      <c r="B3" s="342" t="s">
        <v>447</v>
      </c>
      <c r="C3" s="464">
        <v>1695</v>
      </c>
      <c r="D3" s="343" t="s">
        <v>297</v>
      </c>
      <c r="E3" s="39">
        <v>1</v>
      </c>
      <c r="F3" s="544" t="s">
        <v>395</v>
      </c>
    </row>
    <row r="4" spans="1:7" ht="27" x14ac:dyDescent="0.3">
      <c r="A4" s="467"/>
      <c r="B4" s="342" t="s">
        <v>448</v>
      </c>
      <c r="C4" s="464">
        <v>169.5</v>
      </c>
      <c r="D4" s="343" t="s">
        <v>486</v>
      </c>
      <c r="E4" s="39">
        <v>1</v>
      </c>
      <c r="F4" s="544" t="s">
        <v>395</v>
      </c>
    </row>
    <row r="5" spans="1:7" x14ac:dyDescent="0.3">
      <c r="A5" s="468" t="s">
        <v>453</v>
      </c>
      <c r="B5" s="470" t="s">
        <v>449</v>
      </c>
      <c r="C5" s="464">
        <v>306.12</v>
      </c>
      <c r="D5" s="186" t="s">
        <v>93</v>
      </c>
      <c r="E5" s="187">
        <v>1</v>
      </c>
      <c r="F5" s="545" t="s">
        <v>496</v>
      </c>
    </row>
    <row r="6" spans="1:7" x14ac:dyDescent="0.3">
      <c r="A6" s="468"/>
      <c r="B6" s="470" t="s">
        <v>450</v>
      </c>
      <c r="C6" s="464">
        <v>306.12</v>
      </c>
      <c r="D6" s="186" t="s">
        <v>93</v>
      </c>
      <c r="E6" s="187">
        <v>1</v>
      </c>
      <c r="F6" s="545" t="s">
        <v>492</v>
      </c>
    </row>
    <row r="7" spans="1:7" x14ac:dyDescent="0.3">
      <c r="A7" s="468"/>
      <c r="B7" s="470" t="s">
        <v>451</v>
      </c>
      <c r="C7" s="464">
        <v>306.12</v>
      </c>
      <c r="D7" s="186" t="s">
        <v>93</v>
      </c>
      <c r="E7" s="187">
        <v>1</v>
      </c>
      <c r="F7" s="545" t="s">
        <v>492</v>
      </c>
    </row>
    <row r="8" spans="1:7" x14ac:dyDescent="0.3">
      <c r="A8" s="469" t="s">
        <v>454</v>
      </c>
      <c r="B8" s="184" t="s">
        <v>166</v>
      </c>
      <c r="C8" s="464">
        <v>0</v>
      </c>
      <c r="D8" s="189" t="s">
        <v>93</v>
      </c>
      <c r="E8" s="39">
        <v>1</v>
      </c>
      <c r="F8" s="545"/>
    </row>
    <row r="9" spans="1:7" x14ac:dyDescent="0.3">
      <c r="A9" s="468"/>
      <c r="B9" s="184" t="s">
        <v>143</v>
      </c>
      <c r="C9" s="464">
        <v>137.69</v>
      </c>
      <c r="D9" s="186" t="s">
        <v>93</v>
      </c>
      <c r="E9" s="188">
        <v>1</v>
      </c>
      <c r="F9" s="545" t="s">
        <v>493</v>
      </c>
    </row>
    <row r="10" spans="1:7" x14ac:dyDescent="0.3">
      <c r="A10" s="468"/>
      <c r="B10" s="184" t="s">
        <v>144</v>
      </c>
      <c r="C10" s="464">
        <v>137.69</v>
      </c>
      <c r="D10" s="186" t="s">
        <v>93</v>
      </c>
      <c r="E10" s="187">
        <v>1</v>
      </c>
      <c r="F10" s="545" t="s">
        <v>493</v>
      </c>
    </row>
    <row r="11" spans="1:7" x14ac:dyDescent="0.3">
      <c r="A11" s="468"/>
      <c r="B11" s="184" t="s">
        <v>145</v>
      </c>
      <c r="C11" s="463">
        <v>565</v>
      </c>
      <c r="D11" s="189" t="s">
        <v>93</v>
      </c>
      <c r="E11" s="39" t="s">
        <v>164</v>
      </c>
      <c r="F11" s="470" t="s">
        <v>494</v>
      </c>
      <c r="G11" s="482"/>
    </row>
    <row r="12" spans="1:7" ht="13.5" customHeight="1" x14ac:dyDescent="0.3">
      <c r="A12" s="468"/>
      <c r="B12" s="184" t="s">
        <v>146</v>
      </c>
      <c r="C12" s="463">
        <v>339</v>
      </c>
      <c r="D12" s="189" t="s">
        <v>93</v>
      </c>
      <c r="E12" s="190">
        <v>1</v>
      </c>
      <c r="F12" s="470" t="s">
        <v>419</v>
      </c>
    </row>
    <row r="13" spans="1:7" ht="13.5" customHeight="1" x14ac:dyDescent="0.3">
      <c r="A13" s="468"/>
      <c r="B13" s="184" t="s">
        <v>147</v>
      </c>
      <c r="C13" s="463">
        <v>169.5</v>
      </c>
      <c r="D13" s="186" t="s">
        <v>93</v>
      </c>
      <c r="E13" s="190">
        <v>1</v>
      </c>
      <c r="F13" s="470" t="s">
        <v>495</v>
      </c>
    </row>
    <row r="14" spans="1:7" x14ac:dyDescent="0.3">
      <c r="A14" s="468" t="s">
        <v>455</v>
      </c>
      <c r="B14" s="184" t="s">
        <v>101</v>
      </c>
      <c r="C14" s="464">
        <v>0.4</v>
      </c>
      <c r="D14" s="189" t="s">
        <v>92</v>
      </c>
      <c r="E14" s="39" t="s">
        <v>125</v>
      </c>
      <c r="F14" s="470" t="s">
        <v>501</v>
      </c>
    </row>
    <row r="15" spans="1:7" x14ac:dyDescent="0.3">
      <c r="A15" s="468"/>
      <c r="B15" s="470" t="s">
        <v>452</v>
      </c>
      <c r="C15" s="464">
        <v>0.4</v>
      </c>
      <c r="D15" s="189" t="s">
        <v>92</v>
      </c>
      <c r="E15" s="39" t="s">
        <v>126</v>
      </c>
      <c r="F15" s="470" t="s">
        <v>420</v>
      </c>
    </row>
    <row r="16" spans="1:7" x14ac:dyDescent="0.3">
      <c r="A16" s="468"/>
      <c r="B16" s="184" t="s">
        <v>162</v>
      </c>
      <c r="C16" s="464">
        <v>0.56999999999999995</v>
      </c>
      <c r="D16" s="189" t="s">
        <v>92</v>
      </c>
      <c r="E16" s="39">
        <v>1</v>
      </c>
      <c r="F16" s="470" t="s">
        <v>420</v>
      </c>
    </row>
    <row r="17" spans="1:9" x14ac:dyDescent="0.3">
      <c r="A17" s="468" t="s">
        <v>456</v>
      </c>
      <c r="B17" s="184" t="s">
        <v>101</v>
      </c>
      <c r="C17" s="463">
        <v>0.28000000000000003</v>
      </c>
      <c r="D17" s="189" t="s">
        <v>92</v>
      </c>
      <c r="E17" s="39" t="s">
        <v>125</v>
      </c>
      <c r="F17" s="470" t="s">
        <v>420</v>
      </c>
    </row>
    <row r="18" spans="1:9" x14ac:dyDescent="0.3">
      <c r="A18" s="468"/>
      <c r="B18" s="184" t="s">
        <v>103</v>
      </c>
      <c r="C18" s="463">
        <v>0.28000000000000003</v>
      </c>
      <c r="D18" s="189" t="s">
        <v>92</v>
      </c>
      <c r="E18" s="39" t="s">
        <v>126</v>
      </c>
      <c r="F18" s="470" t="s">
        <v>420</v>
      </c>
    </row>
    <row r="19" spans="1:9" x14ac:dyDescent="0.3">
      <c r="A19" s="468"/>
      <c r="B19" s="184" t="s">
        <v>162</v>
      </c>
      <c r="C19" s="463">
        <v>0.45</v>
      </c>
      <c r="D19" s="189" t="s">
        <v>92</v>
      </c>
      <c r="E19" s="343">
        <v>1</v>
      </c>
      <c r="F19" s="470" t="s">
        <v>420</v>
      </c>
    </row>
    <row r="20" spans="1:9" x14ac:dyDescent="0.3">
      <c r="A20" s="469"/>
      <c r="B20" s="191" t="s">
        <v>97</v>
      </c>
      <c r="C20" s="464">
        <v>0.08</v>
      </c>
      <c r="D20" s="186" t="s">
        <v>230</v>
      </c>
      <c r="E20" s="187">
        <v>1</v>
      </c>
      <c r="F20" s="545" t="s">
        <v>497</v>
      </c>
      <c r="G20" s="20"/>
      <c r="H20" s="20"/>
      <c r="I20" s="20"/>
    </row>
    <row r="21" spans="1:9" ht="15.65" customHeight="1" x14ac:dyDescent="0.3">
      <c r="A21" s="468" t="s">
        <v>457</v>
      </c>
      <c r="B21" s="470" t="s">
        <v>380</v>
      </c>
      <c r="C21" s="464">
        <v>1.79</v>
      </c>
      <c r="D21" s="189" t="s">
        <v>274</v>
      </c>
      <c r="E21" s="187">
        <v>1</v>
      </c>
      <c r="F21" s="545" t="s">
        <v>396</v>
      </c>
    </row>
    <row r="22" spans="1:9" ht="15.65" customHeight="1" x14ac:dyDescent="0.3">
      <c r="A22" s="468"/>
      <c r="B22" s="470" t="s">
        <v>301</v>
      </c>
      <c r="C22" s="464">
        <v>0.6</v>
      </c>
      <c r="D22" s="189" t="s">
        <v>274</v>
      </c>
      <c r="E22" s="187">
        <v>1</v>
      </c>
      <c r="F22" s="545" t="s">
        <v>397</v>
      </c>
    </row>
    <row r="23" spans="1:9" x14ac:dyDescent="0.3">
      <c r="A23" s="468"/>
      <c r="B23" s="470" t="s">
        <v>415</v>
      </c>
      <c r="C23" s="465">
        <v>1.1299999999999999</v>
      </c>
      <c r="D23" s="189" t="s">
        <v>274</v>
      </c>
      <c r="E23" s="39">
        <v>10</v>
      </c>
      <c r="F23" s="470" t="s">
        <v>421</v>
      </c>
      <c r="G23" s="20"/>
    </row>
    <row r="24" spans="1:9" x14ac:dyDescent="0.3">
      <c r="A24" s="468"/>
      <c r="B24" s="470" t="s">
        <v>416</v>
      </c>
      <c r="C24" s="465">
        <v>0.27</v>
      </c>
      <c r="D24" s="189" t="s">
        <v>275</v>
      </c>
      <c r="E24" s="39">
        <v>1</v>
      </c>
      <c r="F24" s="470" t="s">
        <v>498</v>
      </c>
    </row>
    <row r="25" spans="1:9" x14ac:dyDescent="0.3">
      <c r="A25" s="468"/>
      <c r="B25" s="538" t="s">
        <v>417</v>
      </c>
      <c r="C25" s="465">
        <v>16.95</v>
      </c>
      <c r="D25" s="186" t="s">
        <v>93</v>
      </c>
      <c r="E25" s="188" t="s">
        <v>256</v>
      </c>
      <c r="F25" s="470" t="s">
        <v>497</v>
      </c>
    </row>
    <row r="26" spans="1:9" x14ac:dyDescent="0.3">
      <c r="A26" s="468"/>
      <c r="B26" s="538" t="s">
        <v>418</v>
      </c>
      <c r="C26" s="464">
        <v>113</v>
      </c>
      <c r="D26" s="186" t="s">
        <v>93</v>
      </c>
      <c r="E26" s="187">
        <v>15</v>
      </c>
      <c r="F26" s="470" t="s">
        <v>499</v>
      </c>
    </row>
    <row r="27" spans="1:9" ht="27" x14ac:dyDescent="0.3">
      <c r="A27" s="468" t="s">
        <v>458</v>
      </c>
      <c r="B27" s="184" t="s">
        <v>6</v>
      </c>
      <c r="C27" s="463">
        <v>226</v>
      </c>
      <c r="D27" s="189" t="s">
        <v>93</v>
      </c>
      <c r="E27" s="39" t="s">
        <v>160</v>
      </c>
      <c r="F27" s="470" t="s">
        <v>500</v>
      </c>
    </row>
    <row r="28" spans="1:9" ht="55.5" customHeight="1" x14ac:dyDescent="0.3">
      <c r="A28" s="468"/>
      <c r="B28" s="184" t="s">
        <v>132</v>
      </c>
      <c r="C28" s="472" t="s">
        <v>576</v>
      </c>
      <c r="D28" s="189" t="s">
        <v>92</v>
      </c>
      <c r="E28" s="343" t="s">
        <v>381</v>
      </c>
      <c r="F28" s="470" t="s">
        <v>576</v>
      </c>
    </row>
    <row r="29" spans="1:9" ht="15" customHeight="1" x14ac:dyDescent="0.3">
      <c r="A29" s="468" t="s">
        <v>163</v>
      </c>
      <c r="B29" s="470" t="s">
        <v>308</v>
      </c>
      <c r="C29" s="464">
        <v>7.91</v>
      </c>
      <c r="D29" s="189" t="s">
        <v>99</v>
      </c>
      <c r="E29" s="190">
        <v>1</v>
      </c>
      <c r="F29" s="545" t="s">
        <v>502</v>
      </c>
      <c r="G29" s="20"/>
    </row>
    <row r="30" spans="1:9" ht="27" x14ac:dyDescent="0.3">
      <c r="A30" s="468"/>
      <c r="B30" s="342" t="s">
        <v>462</v>
      </c>
      <c r="C30" s="464">
        <v>22.6</v>
      </c>
      <c r="D30" s="189" t="s">
        <v>99</v>
      </c>
      <c r="E30" s="190">
        <v>1</v>
      </c>
      <c r="F30" s="545" t="s">
        <v>398</v>
      </c>
      <c r="G30" s="20"/>
    </row>
    <row r="31" spans="1:9" ht="27" x14ac:dyDescent="0.3">
      <c r="A31" s="468"/>
      <c r="B31" s="342" t="s">
        <v>463</v>
      </c>
      <c r="C31" s="463">
        <v>16.95</v>
      </c>
      <c r="D31" s="189" t="s">
        <v>99</v>
      </c>
      <c r="E31" s="190">
        <v>1</v>
      </c>
      <c r="F31" s="545" t="s">
        <v>398</v>
      </c>
    </row>
    <row r="32" spans="1:9" x14ac:dyDescent="0.3">
      <c r="A32" s="468"/>
      <c r="B32" s="184" t="s">
        <v>90</v>
      </c>
      <c r="C32" s="464">
        <v>3.53</v>
      </c>
      <c r="D32" s="189" t="s">
        <v>99</v>
      </c>
      <c r="E32" s="190">
        <v>1</v>
      </c>
      <c r="F32" s="545" t="s">
        <v>398</v>
      </c>
    </row>
    <row r="33" spans="1:7" x14ac:dyDescent="0.3">
      <c r="A33" s="468"/>
      <c r="B33" s="470" t="s">
        <v>444</v>
      </c>
      <c r="C33" s="464">
        <v>636.19000000000005</v>
      </c>
      <c r="D33" s="189" t="s">
        <v>273</v>
      </c>
      <c r="E33" s="187">
        <v>1</v>
      </c>
      <c r="F33" s="545" t="s">
        <v>398</v>
      </c>
    </row>
    <row r="34" spans="1:7" x14ac:dyDescent="0.3">
      <c r="A34" s="468"/>
      <c r="B34" s="470" t="s">
        <v>445</v>
      </c>
      <c r="C34" s="464">
        <v>387.25</v>
      </c>
      <c r="D34" s="189" t="s">
        <v>273</v>
      </c>
      <c r="E34" s="187">
        <v>1</v>
      </c>
      <c r="F34" s="545" t="s">
        <v>398</v>
      </c>
    </row>
    <row r="35" spans="1:7" x14ac:dyDescent="0.3">
      <c r="A35" s="468"/>
      <c r="B35" s="184" t="s">
        <v>226</v>
      </c>
      <c r="C35" s="463">
        <v>4.63</v>
      </c>
      <c r="D35" s="189" t="s">
        <v>99</v>
      </c>
      <c r="E35" s="190">
        <v>1</v>
      </c>
      <c r="F35" s="545" t="s">
        <v>398</v>
      </c>
      <c r="G35" s="20"/>
    </row>
    <row r="36" spans="1:7" x14ac:dyDescent="0.3">
      <c r="A36" s="468" t="s">
        <v>459</v>
      </c>
      <c r="B36" s="470" t="s">
        <v>464</v>
      </c>
      <c r="C36" s="463">
        <v>113</v>
      </c>
      <c r="D36" s="189" t="s">
        <v>99</v>
      </c>
      <c r="E36" s="190">
        <v>15</v>
      </c>
      <c r="F36" s="470" t="s">
        <v>503</v>
      </c>
    </row>
    <row r="37" spans="1:7" x14ac:dyDescent="0.3">
      <c r="A37" s="468"/>
      <c r="B37" s="470" t="s">
        <v>465</v>
      </c>
      <c r="C37" s="463">
        <v>15</v>
      </c>
      <c r="D37" s="189" t="s">
        <v>99</v>
      </c>
      <c r="E37" s="190">
        <v>1</v>
      </c>
      <c r="F37" s="470" t="s">
        <v>422</v>
      </c>
    </row>
    <row r="38" spans="1:7" x14ac:dyDescent="0.3">
      <c r="A38" s="468" t="s">
        <v>165</v>
      </c>
      <c r="B38" s="184" t="s">
        <v>95</v>
      </c>
      <c r="C38" s="463">
        <v>56.5</v>
      </c>
      <c r="D38" s="189" t="s">
        <v>93</v>
      </c>
      <c r="E38" s="190" t="s">
        <v>94</v>
      </c>
      <c r="F38" s="470" t="s">
        <v>423</v>
      </c>
      <c r="G38" s="20"/>
    </row>
    <row r="39" spans="1:7" x14ac:dyDescent="0.3">
      <c r="A39" s="468"/>
      <c r="B39" s="184" t="s">
        <v>96</v>
      </c>
      <c r="C39" s="463">
        <v>11.3</v>
      </c>
      <c r="D39" s="189" t="s">
        <v>93</v>
      </c>
      <c r="E39" s="190" t="s">
        <v>94</v>
      </c>
      <c r="F39" s="470" t="s">
        <v>423</v>
      </c>
    </row>
    <row r="40" spans="1:7" x14ac:dyDescent="0.3">
      <c r="A40" s="468"/>
      <c r="B40" s="470" t="s">
        <v>466</v>
      </c>
      <c r="C40" s="463">
        <v>84.75</v>
      </c>
      <c r="D40" s="186" t="s">
        <v>93</v>
      </c>
      <c r="E40" s="39" t="s">
        <v>216</v>
      </c>
      <c r="F40" s="470" t="s">
        <v>424</v>
      </c>
    </row>
    <row r="41" spans="1:7" x14ac:dyDescent="0.3">
      <c r="A41" s="468"/>
      <c r="B41" s="470" t="s">
        <v>467</v>
      </c>
      <c r="C41" s="463">
        <v>4.63</v>
      </c>
      <c r="D41" s="189" t="s">
        <v>99</v>
      </c>
      <c r="E41" s="39" t="s">
        <v>215</v>
      </c>
      <c r="F41" s="470" t="s">
        <v>497</v>
      </c>
      <c r="G41" s="20"/>
    </row>
    <row r="42" spans="1:7" x14ac:dyDescent="0.3">
      <c r="A42" s="468"/>
      <c r="B42" s="470" t="s">
        <v>468</v>
      </c>
      <c r="C42" s="463">
        <v>11.3</v>
      </c>
      <c r="D42" s="189" t="s">
        <v>99</v>
      </c>
      <c r="E42" s="343" t="s">
        <v>215</v>
      </c>
      <c r="F42" s="470" t="s">
        <v>504</v>
      </c>
    </row>
    <row r="43" spans="1:7" x14ac:dyDescent="0.3">
      <c r="A43" s="468"/>
      <c r="B43" s="470" t="s">
        <v>469</v>
      </c>
      <c r="C43" s="463">
        <v>5.65</v>
      </c>
      <c r="D43" s="189" t="s">
        <v>99</v>
      </c>
      <c r="E43" s="39" t="s">
        <v>215</v>
      </c>
      <c r="F43" s="470" t="s">
        <v>504</v>
      </c>
    </row>
    <row r="44" spans="1:7" x14ac:dyDescent="0.3">
      <c r="A44" s="468"/>
      <c r="B44" s="184" t="s">
        <v>271</v>
      </c>
      <c r="C44" s="463">
        <v>159.05000000000001</v>
      </c>
      <c r="D44" s="189" t="s">
        <v>273</v>
      </c>
      <c r="E44" s="39" t="s">
        <v>215</v>
      </c>
      <c r="F44" s="470" t="s">
        <v>425</v>
      </c>
    </row>
    <row r="45" spans="1:7" x14ac:dyDescent="0.3">
      <c r="A45" s="468"/>
      <c r="B45" s="184" t="s">
        <v>272</v>
      </c>
      <c r="C45" s="463">
        <v>106.23</v>
      </c>
      <c r="D45" s="189" t="s">
        <v>273</v>
      </c>
      <c r="E45" s="39" t="s">
        <v>215</v>
      </c>
      <c r="F45" s="470" t="s">
        <v>425</v>
      </c>
    </row>
    <row r="46" spans="1:7" x14ac:dyDescent="0.3">
      <c r="A46" s="468"/>
      <c r="B46" s="538" t="s">
        <v>470</v>
      </c>
      <c r="C46" s="466">
        <v>35</v>
      </c>
      <c r="D46" s="189" t="s">
        <v>93</v>
      </c>
      <c r="E46" s="39" t="s">
        <v>94</v>
      </c>
      <c r="F46" s="470" t="s">
        <v>426</v>
      </c>
    </row>
    <row r="47" spans="1:7" ht="40.5" x14ac:dyDescent="0.3">
      <c r="A47" s="468"/>
      <c r="B47" s="191" t="s">
        <v>195</v>
      </c>
      <c r="C47" s="463">
        <v>339</v>
      </c>
      <c r="D47" s="186" t="s">
        <v>186</v>
      </c>
      <c r="E47" s="188" t="s">
        <v>228</v>
      </c>
      <c r="F47" s="470" t="s">
        <v>427</v>
      </c>
    </row>
    <row r="48" spans="1:7" ht="27" x14ac:dyDescent="0.3">
      <c r="A48" s="478" t="s">
        <v>460</v>
      </c>
      <c r="B48" s="57"/>
      <c r="C48" s="162" t="s">
        <v>483</v>
      </c>
      <c r="D48" s="163" t="s">
        <v>484</v>
      </c>
      <c r="E48" s="208" t="s">
        <v>1</v>
      </c>
      <c r="F48" s="468"/>
    </row>
    <row r="49" spans="1:7" ht="17.149999999999999" customHeight="1" x14ac:dyDescent="0.3">
      <c r="A49" s="471" t="s">
        <v>82</v>
      </c>
      <c r="B49" s="477" t="s">
        <v>582</v>
      </c>
      <c r="C49" s="465">
        <v>300</v>
      </c>
      <c r="D49" s="465">
        <v>250</v>
      </c>
      <c r="E49" s="192">
        <v>1</v>
      </c>
      <c r="F49" s="470" t="s">
        <v>592</v>
      </c>
      <c r="G49" s="346"/>
    </row>
    <row r="50" spans="1:7" ht="17.149999999999999" customHeight="1" x14ac:dyDescent="0.3">
      <c r="A50" s="471" t="s">
        <v>179</v>
      </c>
      <c r="B50" s="477" t="s">
        <v>471</v>
      </c>
      <c r="C50" s="465">
        <v>2000</v>
      </c>
      <c r="D50" s="465">
        <v>1500</v>
      </c>
      <c r="E50" s="192">
        <v>1</v>
      </c>
      <c r="F50" s="470" t="s">
        <v>592</v>
      </c>
      <c r="G50" s="346"/>
    </row>
    <row r="51" spans="1:7" ht="28.5" customHeight="1" x14ac:dyDescent="0.3">
      <c r="A51" s="471"/>
      <c r="B51" s="477" t="s">
        <v>474</v>
      </c>
      <c r="C51" s="464">
        <v>2117</v>
      </c>
      <c r="D51" s="840">
        <v>820</v>
      </c>
      <c r="E51" s="192">
        <v>1</v>
      </c>
      <c r="F51" s="827" t="s">
        <v>577</v>
      </c>
      <c r="G51" s="346"/>
    </row>
    <row r="52" spans="1:7" ht="17.149999999999999" customHeight="1" x14ac:dyDescent="0.3">
      <c r="A52" s="471" t="s">
        <v>183</v>
      </c>
      <c r="B52" s="477" t="s">
        <v>472</v>
      </c>
      <c r="C52" s="465">
        <v>2250</v>
      </c>
      <c r="D52" s="465">
        <v>1750</v>
      </c>
      <c r="E52" s="194">
        <v>5</v>
      </c>
      <c r="F52" s="470" t="s">
        <v>592</v>
      </c>
      <c r="G52" s="346"/>
    </row>
    <row r="53" spans="1:7" ht="17.149999999999999" customHeight="1" x14ac:dyDescent="0.3">
      <c r="A53" s="471"/>
      <c r="B53" s="477" t="s">
        <v>473</v>
      </c>
      <c r="C53" s="464">
        <v>2702</v>
      </c>
      <c r="D53" s="840">
        <v>904</v>
      </c>
      <c r="E53" s="194">
        <v>5</v>
      </c>
      <c r="F53" s="545" t="s">
        <v>399</v>
      </c>
      <c r="G53" s="346"/>
    </row>
    <row r="54" spans="1:7" ht="17.149999999999999" customHeight="1" x14ac:dyDescent="0.3">
      <c r="A54" s="471"/>
      <c r="B54" s="477" t="s">
        <v>475</v>
      </c>
      <c r="C54" s="465">
        <v>2250</v>
      </c>
      <c r="D54" s="465">
        <v>1750</v>
      </c>
      <c r="E54" s="192" t="s">
        <v>258</v>
      </c>
      <c r="F54" s="470" t="s">
        <v>592</v>
      </c>
      <c r="G54" s="346"/>
    </row>
    <row r="55" spans="1:7" ht="17.149999999999999" customHeight="1" x14ac:dyDescent="0.3">
      <c r="A55" s="471"/>
      <c r="B55" s="477" t="s">
        <v>476</v>
      </c>
      <c r="C55" s="464">
        <v>2702</v>
      </c>
      <c r="D55" s="840">
        <v>904</v>
      </c>
      <c r="E55" s="192" t="s">
        <v>258</v>
      </c>
      <c r="F55" s="545" t="s">
        <v>399</v>
      </c>
      <c r="G55" s="346"/>
    </row>
    <row r="56" spans="1:7" ht="17.149999999999999" customHeight="1" x14ac:dyDescent="0.3">
      <c r="A56" s="471"/>
      <c r="B56" s="168"/>
      <c r="C56" s="195" t="s">
        <v>485</v>
      </c>
      <c r="D56" s="169" t="s">
        <v>261</v>
      </c>
      <c r="E56" s="196" t="s">
        <v>1</v>
      </c>
      <c r="F56" s="184"/>
    </row>
    <row r="57" spans="1:7" ht="17.149999999999999" customHeight="1" x14ac:dyDescent="0.3">
      <c r="A57" s="471" t="s">
        <v>260</v>
      </c>
      <c r="B57" s="477" t="s">
        <v>477</v>
      </c>
      <c r="C57" s="464">
        <v>0.05</v>
      </c>
      <c r="D57" s="893" t="s">
        <v>487</v>
      </c>
      <c r="E57" s="197">
        <v>1</v>
      </c>
      <c r="F57" s="470" t="s">
        <v>505</v>
      </c>
      <c r="G57" s="346"/>
    </row>
    <row r="58" spans="1:7" ht="24" customHeight="1" x14ac:dyDescent="0.3">
      <c r="A58" s="471"/>
      <c r="B58" s="477" t="s">
        <v>478</v>
      </c>
      <c r="C58" s="464">
        <v>0.1</v>
      </c>
      <c r="D58" s="894"/>
      <c r="E58" s="197">
        <v>1</v>
      </c>
      <c r="F58" s="470" t="s">
        <v>505</v>
      </c>
      <c r="G58" s="346"/>
    </row>
    <row r="59" spans="1:7" ht="35.25" customHeight="1" x14ac:dyDescent="0.3">
      <c r="A59" s="471"/>
      <c r="B59" s="477" t="s">
        <v>479</v>
      </c>
      <c r="C59" s="464">
        <v>0.1</v>
      </c>
      <c r="D59" s="548" t="s">
        <v>488</v>
      </c>
      <c r="E59" s="191" t="s">
        <v>258</v>
      </c>
      <c r="F59" s="477"/>
      <c r="G59" s="346"/>
    </row>
    <row r="60" spans="1:7" ht="44.5" customHeight="1" x14ac:dyDescent="0.3">
      <c r="A60" s="471"/>
      <c r="B60" s="168"/>
      <c r="C60" s="476" t="s">
        <v>240</v>
      </c>
      <c r="D60" s="169" t="s">
        <v>241</v>
      </c>
      <c r="E60" s="169" t="s">
        <v>491</v>
      </c>
      <c r="F60" s="220"/>
    </row>
    <row r="61" spans="1:7" ht="17.149999999999999" customHeight="1" x14ac:dyDescent="0.3">
      <c r="A61" s="471" t="s">
        <v>259</v>
      </c>
      <c r="B61" s="477" t="s">
        <v>480</v>
      </c>
      <c r="C61" s="841">
        <v>1250</v>
      </c>
      <c r="D61" s="463">
        <v>750</v>
      </c>
      <c r="E61" s="463">
        <v>100</v>
      </c>
      <c r="F61" s="86"/>
    </row>
    <row r="62" spans="1:7" ht="17.149999999999999" customHeight="1" x14ac:dyDescent="0.3">
      <c r="A62" s="471"/>
      <c r="B62" s="477" t="s">
        <v>481</v>
      </c>
      <c r="C62" s="841">
        <v>1250</v>
      </c>
      <c r="D62" s="463">
        <v>750</v>
      </c>
      <c r="E62" s="463">
        <v>100</v>
      </c>
      <c r="F62" s="86"/>
    </row>
    <row r="63" spans="1:7" ht="17.149999999999999" customHeight="1" x14ac:dyDescent="0.3">
      <c r="F63" s="334"/>
    </row>
    <row r="64" spans="1:7" ht="17.149999999999999" customHeight="1" x14ac:dyDescent="0.3">
      <c r="A64" s="95" t="s">
        <v>461</v>
      </c>
      <c r="B64" s="161" t="s">
        <v>482</v>
      </c>
      <c r="C64" s="200"/>
      <c r="D64" s="201"/>
      <c r="E64" s="202"/>
      <c r="F64" s="895"/>
    </row>
    <row r="65" spans="1:7" ht="17.149999999999999" customHeight="1" x14ac:dyDescent="0.3">
      <c r="A65" s="203"/>
      <c r="B65" s="132" t="s">
        <v>255</v>
      </c>
      <c r="C65" s="204"/>
      <c r="D65" s="23"/>
      <c r="E65" s="205"/>
      <c r="F65" s="896"/>
    </row>
    <row r="66" spans="1:7" ht="43" customHeight="1" x14ac:dyDescent="0.3">
      <c r="A66" s="206" t="s">
        <v>1</v>
      </c>
      <c r="B66" s="206" t="s">
        <v>101</v>
      </c>
      <c r="C66" s="207" t="s">
        <v>254</v>
      </c>
      <c r="D66" s="206" t="s">
        <v>490</v>
      </c>
      <c r="E66" s="208" t="s">
        <v>489</v>
      </c>
      <c r="F66" s="182"/>
    </row>
    <row r="67" spans="1:7" x14ac:dyDescent="0.3">
      <c r="A67" s="209">
        <v>1</v>
      </c>
      <c r="B67" s="210">
        <f>MAX('Cost Data'!$C$46,'Cost Data'!A67/38*'Income Data'!$H$5)</f>
        <v>35</v>
      </c>
      <c r="C67" s="211">
        <f>MAX('Cost Data'!$C$46,'Cost Data'!A67/76*'Income Data'!$H$6)</f>
        <v>35</v>
      </c>
      <c r="D67" s="212">
        <f>MAX('Cost Data'!$C$46,'Cost Data'!A67/60*'Income Data'!$H$7)</f>
        <v>35</v>
      </c>
      <c r="E67" s="213">
        <f>$C$46</f>
        <v>35</v>
      </c>
      <c r="F67" s="182"/>
      <c r="G67" s="1"/>
    </row>
    <row r="68" spans="1:7" x14ac:dyDescent="0.3">
      <c r="A68" s="209">
        <v>2</v>
      </c>
      <c r="B68" s="210">
        <f>MAX('Cost Data'!$C$46,'Cost Data'!A68/38*'Income Data'!$H$5)</f>
        <v>35</v>
      </c>
      <c r="C68" s="211">
        <f>MAX('Cost Data'!$C$46,'Cost Data'!A68/76*'Income Data'!$H$6)</f>
        <v>35</v>
      </c>
      <c r="D68" s="212">
        <f>MAX('Cost Data'!$C$46,'Cost Data'!A68/60*'Income Data'!$H$7)</f>
        <v>35</v>
      </c>
      <c r="E68" s="213">
        <f t="shared" ref="E68:E131" si="0">$C$46</f>
        <v>35</v>
      </c>
      <c r="F68" s="182"/>
      <c r="G68" s="1"/>
    </row>
    <row r="69" spans="1:7" x14ac:dyDescent="0.3">
      <c r="A69" s="209">
        <v>3</v>
      </c>
      <c r="B69" s="210">
        <f>MAX('Cost Data'!$C$46,'Cost Data'!A69/38*'Income Data'!$H$5)</f>
        <v>35</v>
      </c>
      <c r="C69" s="211">
        <f>MAX('Cost Data'!$C$46,'Cost Data'!A69/76*'Income Data'!$H$6)</f>
        <v>35</v>
      </c>
      <c r="D69" s="212">
        <f>MAX('Cost Data'!$C$46,'Cost Data'!A69/60*'Income Data'!$H$7)</f>
        <v>35</v>
      </c>
      <c r="E69" s="213">
        <f t="shared" si="0"/>
        <v>35</v>
      </c>
      <c r="F69" s="182"/>
      <c r="G69" s="1"/>
    </row>
    <row r="70" spans="1:7" x14ac:dyDescent="0.3">
      <c r="A70" s="209">
        <v>4</v>
      </c>
      <c r="B70" s="210">
        <f>MAX('Cost Data'!$C$46,'Cost Data'!A70/38*'Income Data'!$H$5)</f>
        <v>35</v>
      </c>
      <c r="C70" s="211">
        <f>MAX('Cost Data'!$C$46,'Cost Data'!A70/76*'Income Data'!$H$6)</f>
        <v>35</v>
      </c>
      <c r="D70" s="212">
        <f>MAX('Cost Data'!$C$46,'Cost Data'!A70/60*'Income Data'!$H$7)</f>
        <v>35</v>
      </c>
      <c r="E70" s="213">
        <f t="shared" si="0"/>
        <v>35</v>
      </c>
      <c r="F70" s="182"/>
      <c r="G70" s="1"/>
    </row>
    <row r="71" spans="1:7" x14ac:dyDescent="0.3">
      <c r="A71" s="209">
        <v>5</v>
      </c>
      <c r="B71" s="210">
        <f>MAX('Cost Data'!$C$46,'Cost Data'!A71/38*'Income Data'!$H$5)</f>
        <v>35</v>
      </c>
      <c r="C71" s="211">
        <f>MAX('Cost Data'!$C$46,'Cost Data'!A71/76*'Income Data'!$H$6)</f>
        <v>35</v>
      </c>
      <c r="D71" s="212">
        <f>MAX('Cost Data'!$C$46,'Cost Data'!A71/60*'Income Data'!$H$7)</f>
        <v>35</v>
      </c>
      <c r="E71" s="213">
        <f t="shared" si="0"/>
        <v>35</v>
      </c>
      <c r="F71" s="182"/>
      <c r="G71" s="1"/>
    </row>
    <row r="72" spans="1:7" x14ac:dyDescent="0.3">
      <c r="A72" s="209">
        <v>6</v>
      </c>
      <c r="B72" s="210">
        <f>MAX('Cost Data'!$C$46,'Cost Data'!A72/38*'Income Data'!$H$5)</f>
        <v>35</v>
      </c>
      <c r="C72" s="211">
        <f>MAX('Cost Data'!$C$46,'Cost Data'!A72/76*'Income Data'!$H$6)</f>
        <v>35</v>
      </c>
      <c r="D72" s="212">
        <f>MAX('Cost Data'!$C$46,'Cost Data'!A72/60*'Income Data'!$H$7)</f>
        <v>35</v>
      </c>
      <c r="E72" s="213">
        <f t="shared" si="0"/>
        <v>35</v>
      </c>
      <c r="F72" s="182"/>
      <c r="G72" s="1"/>
    </row>
    <row r="73" spans="1:7" x14ac:dyDescent="0.3">
      <c r="A73" s="209">
        <v>7</v>
      </c>
      <c r="B73" s="210">
        <f>MAX('Cost Data'!$C$46,'Cost Data'!A73/38*'Income Data'!$H$5)</f>
        <v>35</v>
      </c>
      <c r="C73" s="211">
        <f>MAX('Cost Data'!$C$46,'Cost Data'!A73/76*'Income Data'!$H$6)</f>
        <v>35</v>
      </c>
      <c r="D73" s="212">
        <f>MAX('Cost Data'!$C$46,'Cost Data'!A73/60*'Income Data'!$H$7)</f>
        <v>35</v>
      </c>
      <c r="E73" s="213">
        <f t="shared" si="0"/>
        <v>35</v>
      </c>
      <c r="F73" s="6"/>
    </row>
    <row r="74" spans="1:7" x14ac:dyDescent="0.3">
      <c r="A74" s="209">
        <v>8</v>
      </c>
      <c r="B74" s="210">
        <f>MAX('Cost Data'!$C$46,'Cost Data'!A74/38*'Income Data'!$H$5)</f>
        <v>35</v>
      </c>
      <c r="C74" s="211">
        <f>MAX('Cost Data'!$C$46,'Cost Data'!A74/76*'Income Data'!$H$6)</f>
        <v>35</v>
      </c>
      <c r="D74" s="212">
        <f>MAX('Cost Data'!$C$46,'Cost Data'!A74/60*'Income Data'!$H$7)</f>
        <v>35</v>
      </c>
      <c r="E74" s="213">
        <f t="shared" si="0"/>
        <v>35</v>
      </c>
      <c r="F74" s="6"/>
    </row>
    <row r="75" spans="1:7" x14ac:dyDescent="0.3">
      <c r="A75" s="209">
        <v>9</v>
      </c>
      <c r="B75" s="210">
        <f>MAX('Cost Data'!$C$46,'Cost Data'!A75/38*'Income Data'!$H$5)</f>
        <v>35</v>
      </c>
      <c r="C75" s="211">
        <f>MAX('Cost Data'!$C$46,'Cost Data'!A75/76*'Income Data'!$H$6)</f>
        <v>35</v>
      </c>
      <c r="D75" s="212">
        <f>MAX('Cost Data'!$C$46,'Cost Data'!A75/60*'Income Data'!$H$7)</f>
        <v>35</v>
      </c>
      <c r="E75" s="213">
        <f t="shared" si="0"/>
        <v>35</v>
      </c>
      <c r="F75" s="6"/>
    </row>
    <row r="76" spans="1:7" x14ac:dyDescent="0.3">
      <c r="A76" s="209">
        <v>10</v>
      </c>
      <c r="B76" s="210">
        <f>MAX('Cost Data'!$C$46,'Cost Data'!A76/38*'Income Data'!$H$5)</f>
        <v>35</v>
      </c>
      <c r="C76" s="211">
        <f>MAX('Cost Data'!$C$46,'Cost Data'!A76/76*'Income Data'!$H$6)</f>
        <v>35</v>
      </c>
      <c r="D76" s="212">
        <f>MAX('Cost Data'!$C$46,'Cost Data'!A76/60*'Income Data'!$H$7)</f>
        <v>35</v>
      </c>
      <c r="E76" s="213">
        <f t="shared" si="0"/>
        <v>35</v>
      </c>
      <c r="F76" s="6"/>
    </row>
    <row r="77" spans="1:7" x14ac:dyDescent="0.3">
      <c r="A77" s="209">
        <v>11</v>
      </c>
      <c r="B77" s="210">
        <f>MAX('Cost Data'!$C$46,'Cost Data'!A77/38*'Income Data'!$H$5)</f>
        <v>35</v>
      </c>
      <c r="C77" s="211">
        <f>MAX('Cost Data'!$C$46,'Cost Data'!A77/76*'Income Data'!$H$6)</f>
        <v>35</v>
      </c>
      <c r="D77" s="212">
        <f>MAX('Cost Data'!$C$46,'Cost Data'!A77/60*'Income Data'!$H$7)</f>
        <v>35</v>
      </c>
      <c r="E77" s="213">
        <f t="shared" si="0"/>
        <v>35</v>
      </c>
      <c r="F77" s="6"/>
    </row>
    <row r="78" spans="1:7" x14ac:dyDescent="0.3">
      <c r="A78" s="209">
        <v>12</v>
      </c>
      <c r="B78" s="210">
        <f>MAX('Cost Data'!$C$46,'Cost Data'!A78/38*'Income Data'!$H$5)</f>
        <v>35</v>
      </c>
      <c r="C78" s="211">
        <f>MAX('Cost Data'!$C$46,'Cost Data'!A78/76*'Income Data'!$H$6)</f>
        <v>35</v>
      </c>
      <c r="D78" s="212">
        <f>MAX('Cost Data'!$C$46,'Cost Data'!A78/60*'Income Data'!$H$7)</f>
        <v>35</v>
      </c>
      <c r="E78" s="213">
        <f t="shared" si="0"/>
        <v>35</v>
      </c>
      <c r="F78" s="6"/>
    </row>
    <row r="79" spans="1:7" x14ac:dyDescent="0.3">
      <c r="A79" s="209">
        <v>13</v>
      </c>
      <c r="B79" s="210">
        <f>MAX('Cost Data'!$C$46,'Cost Data'!A79/38*'Income Data'!$H$5)</f>
        <v>35</v>
      </c>
      <c r="C79" s="211">
        <f>MAX('Cost Data'!$C$46,'Cost Data'!A79/76*'Income Data'!$H$6)</f>
        <v>35</v>
      </c>
      <c r="D79" s="212">
        <f>MAX('Cost Data'!$C$46,'Cost Data'!A79/60*'Income Data'!$H$7)</f>
        <v>35</v>
      </c>
      <c r="E79" s="213">
        <f t="shared" si="0"/>
        <v>35</v>
      </c>
      <c r="F79" s="6"/>
    </row>
    <row r="80" spans="1:7" x14ac:dyDescent="0.3">
      <c r="A80" s="209">
        <v>14</v>
      </c>
      <c r="B80" s="210">
        <f>MAX('Cost Data'!$C$46,'Cost Data'!A80/38*'Income Data'!$H$5)</f>
        <v>35</v>
      </c>
      <c r="C80" s="211">
        <f>MAX('Cost Data'!$C$46,'Cost Data'!A80/76*'Income Data'!$H$6)</f>
        <v>35</v>
      </c>
      <c r="D80" s="212">
        <f>MAX('Cost Data'!$C$46,'Cost Data'!A80/60*'Income Data'!$H$7)</f>
        <v>35</v>
      </c>
      <c r="E80" s="213">
        <f t="shared" si="0"/>
        <v>35</v>
      </c>
      <c r="F80" s="6"/>
    </row>
    <row r="81" spans="1:6" x14ac:dyDescent="0.3">
      <c r="A81" s="209">
        <v>15</v>
      </c>
      <c r="B81" s="210">
        <f>MAX('Cost Data'!$C$46,'Cost Data'!A81/38*'Income Data'!$H$5)</f>
        <v>35</v>
      </c>
      <c r="C81" s="211">
        <f>MAX('Cost Data'!$C$46,'Cost Data'!A81/76*'Income Data'!$H$6)</f>
        <v>35</v>
      </c>
      <c r="D81" s="212">
        <f>MAX('Cost Data'!$C$46,'Cost Data'!A81/60*'Income Data'!$H$7)</f>
        <v>35</v>
      </c>
      <c r="E81" s="213">
        <f t="shared" si="0"/>
        <v>35</v>
      </c>
      <c r="F81" s="6"/>
    </row>
    <row r="82" spans="1:6" x14ac:dyDescent="0.3">
      <c r="A82" s="209">
        <v>16</v>
      </c>
      <c r="B82" s="210">
        <f>MAX('Cost Data'!$C$46,'Cost Data'!A82/38*'Income Data'!$H$5)</f>
        <v>35</v>
      </c>
      <c r="C82" s="211">
        <f>MAX('Cost Data'!$C$46,'Cost Data'!A82/76*'Income Data'!$H$6)</f>
        <v>35</v>
      </c>
      <c r="D82" s="212">
        <f>MAX('Cost Data'!$C$46,'Cost Data'!A82/60*'Income Data'!$H$7)</f>
        <v>35</v>
      </c>
      <c r="E82" s="213">
        <f t="shared" si="0"/>
        <v>35</v>
      </c>
      <c r="F82" s="6"/>
    </row>
    <row r="83" spans="1:6" x14ac:dyDescent="0.3">
      <c r="A83" s="209">
        <v>17</v>
      </c>
      <c r="B83" s="210">
        <f>MAX('Cost Data'!$C$46,'Cost Data'!A83/38*'Income Data'!$H$5)</f>
        <v>36.909572368421053</v>
      </c>
      <c r="C83" s="211">
        <f>MAX('Cost Data'!$C$46,'Cost Data'!A83/76*'Income Data'!$H$6)</f>
        <v>35</v>
      </c>
      <c r="D83" s="212">
        <f>MAX('Cost Data'!$C$46,'Cost Data'!A83/60*'Income Data'!$H$7)</f>
        <v>35</v>
      </c>
      <c r="E83" s="213">
        <f t="shared" si="0"/>
        <v>35</v>
      </c>
      <c r="F83" s="6"/>
    </row>
    <row r="84" spans="1:6" x14ac:dyDescent="0.3">
      <c r="A84" s="209">
        <v>18</v>
      </c>
      <c r="B84" s="210">
        <f>MAX('Cost Data'!$C$46,'Cost Data'!A84/38*'Income Data'!$H$5)</f>
        <v>39.080723684210525</v>
      </c>
      <c r="C84" s="211">
        <f>MAX('Cost Data'!$C$46,'Cost Data'!A84/76*'Income Data'!$H$6)</f>
        <v>35</v>
      </c>
      <c r="D84" s="212">
        <f>MAX('Cost Data'!$C$46,'Cost Data'!A84/60*'Income Data'!$H$7)</f>
        <v>35</v>
      </c>
      <c r="E84" s="213">
        <f t="shared" si="0"/>
        <v>35</v>
      </c>
      <c r="F84" s="6"/>
    </row>
    <row r="85" spans="1:6" x14ac:dyDescent="0.3">
      <c r="A85" s="209">
        <v>19</v>
      </c>
      <c r="B85" s="210">
        <f>MAX('Cost Data'!$C$46,'Cost Data'!A85/38*'Income Data'!$H$5)</f>
        <v>41.251874999999998</v>
      </c>
      <c r="C85" s="211">
        <f>MAX('Cost Data'!$C$46,'Cost Data'!A85/76*'Income Data'!$H$6)</f>
        <v>35</v>
      </c>
      <c r="D85" s="212">
        <f>MAX('Cost Data'!$C$46,'Cost Data'!A85/60*'Income Data'!$H$7)</f>
        <v>35</v>
      </c>
      <c r="E85" s="213">
        <f t="shared" si="0"/>
        <v>35</v>
      </c>
      <c r="F85" s="6"/>
    </row>
    <row r="86" spans="1:6" x14ac:dyDescent="0.3">
      <c r="A86" s="209">
        <v>20</v>
      </c>
      <c r="B86" s="210">
        <f>MAX('Cost Data'!$C$46,'Cost Data'!A86/38*'Income Data'!$H$5)</f>
        <v>43.423026315789471</v>
      </c>
      <c r="C86" s="211">
        <f>MAX('Cost Data'!$C$46,'Cost Data'!A86/76*'Income Data'!$H$6)</f>
        <v>35</v>
      </c>
      <c r="D86" s="212">
        <f>MAX('Cost Data'!$C$46,'Cost Data'!A86/60*'Income Data'!$H$7)</f>
        <v>35</v>
      </c>
      <c r="E86" s="213">
        <f t="shared" si="0"/>
        <v>35</v>
      </c>
      <c r="F86" s="6"/>
    </row>
    <row r="87" spans="1:6" x14ac:dyDescent="0.3">
      <c r="A87" s="209">
        <v>21</v>
      </c>
      <c r="B87" s="210">
        <f>MAX('Cost Data'!$C$46,'Cost Data'!A87/38*'Income Data'!$H$5)</f>
        <v>45.594177631578951</v>
      </c>
      <c r="C87" s="211">
        <f>MAX('Cost Data'!$C$46,'Cost Data'!A87/76*'Income Data'!$H$6)</f>
        <v>35</v>
      </c>
      <c r="D87" s="212">
        <f>MAX('Cost Data'!$C$46,'Cost Data'!A87/60*'Income Data'!$H$7)</f>
        <v>35</v>
      </c>
      <c r="E87" s="213">
        <f t="shared" si="0"/>
        <v>35</v>
      </c>
      <c r="F87" s="6"/>
    </row>
    <row r="88" spans="1:6" x14ac:dyDescent="0.3">
      <c r="A88" s="209">
        <v>22</v>
      </c>
      <c r="B88" s="210">
        <f>MAX('Cost Data'!$C$46,'Cost Data'!A88/38*'Income Data'!$H$5)</f>
        <v>47.765328947368424</v>
      </c>
      <c r="C88" s="211">
        <f>MAX('Cost Data'!$C$46,'Cost Data'!A88/76*'Income Data'!$H$6)</f>
        <v>35</v>
      </c>
      <c r="D88" s="212">
        <f>MAX('Cost Data'!$C$46,'Cost Data'!A88/60*'Income Data'!$H$7)</f>
        <v>35</v>
      </c>
      <c r="E88" s="213">
        <f t="shared" si="0"/>
        <v>35</v>
      </c>
      <c r="F88" s="6"/>
    </row>
    <row r="89" spans="1:6" x14ac:dyDescent="0.3">
      <c r="A89" s="209">
        <v>23</v>
      </c>
      <c r="B89" s="210">
        <f>MAX('Cost Data'!$C$46,'Cost Data'!A89/38*'Income Data'!$H$5)</f>
        <v>49.93648026315789</v>
      </c>
      <c r="C89" s="211">
        <f>MAX('Cost Data'!$C$46,'Cost Data'!A89/76*'Income Data'!$H$6)</f>
        <v>35</v>
      </c>
      <c r="D89" s="212">
        <f>MAX('Cost Data'!$C$46,'Cost Data'!A89/60*'Income Data'!$H$7)</f>
        <v>35</v>
      </c>
      <c r="E89" s="213">
        <f t="shared" si="0"/>
        <v>35</v>
      </c>
      <c r="F89" s="6"/>
    </row>
    <row r="90" spans="1:6" x14ac:dyDescent="0.3">
      <c r="A90" s="209">
        <v>24</v>
      </c>
      <c r="B90" s="210">
        <f>MAX('Cost Data'!$C$46,'Cost Data'!A90/38*'Income Data'!$H$5)</f>
        <v>52.107631578947363</v>
      </c>
      <c r="C90" s="211">
        <f>MAX('Cost Data'!$C$46,'Cost Data'!A90/76*'Income Data'!$H$6)</f>
        <v>35</v>
      </c>
      <c r="D90" s="212">
        <f>MAX('Cost Data'!$C$46,'Cost Data'!A90/60*'Income Data'!$H$7)</f>
        <v>35.427</v>
      </c>
      <c r="E90" s="213">
        <f t="shared" si="0"/>
        <v>35</v>
      </c>
      <c r="F90" s="6"/>
    </row>
    <row r="91" spans="1:6" x14ac:dyDescent="0.3">
      <c r="A91" s="209">
        <v>25</v>
      </c>
      <c r="B91" s="210">
        <f>MAX('Cost Data'!$C$46,'Cost Data'!A91/38*'Income Data'!$H$5)</f>
        <v>54.278782894736842</v>
      </c>
      <c r="C91" s="211">
        <f>MAX('Cost Data'!$C$46,'Cost Data'!A91/76*'Income Data'!$H$6)</f>
        <v>35</v>
      </c>
      <c r="D91" s="212">
        <f>MAX('Cost Data'!$C$46,'Cost Data'!A91/60*'Income Data'!$H$7)</f>
        <v>36.903125000000003</v>
      </c>
      <c r="E91" s="213">
        <f t="shared" si="0"/>
        <v>35</v>
      </c>
      <c r="F91" s="6"/>
    </row>
    <row r="92" spans="1:6" x14ac:dyDescent="0.3">
      <c r="A92" s="209">
        <v>26</v>
      </c>
      <c r="B92" s="210">
        <f>MAX('Cost Data'!$C$46,'Cost Data'!A92/38*'Income Data'!$H$5)</f>
        <v>56.449934210526315</v>
      </c>
      <c r="C92" s="211">
        <f>MAX('Cost Data'!$C$46,'Cost Data'!A92/76*'Income Data'!$H$6)</f>
        <v>35</v>
      </c>
      <c r="D92" s="212">
        <f>MAX('Cost Data'!$C$46,'Cost Data'!A92/60*'Income Data'!$H$7)</f>
        <v>38.379249999999999</v>
      </c>
      <c r="E92" s="213">
        <f t="shared" si="0"/>
        <v>35</v>
      </c>
      <c r="F92" s="6"/>
    </row>
    <row r="93" spans="1:6" x14ac:dyDescent="0.3">
      <c r="A93" s="209">
        <v>27</v>
      </c>
      <c r="B93" s="210">
        <f>MAX('Cost Data'!$C$46,'Cost Data'!A93/38*'Income Data'!$H$5)</f>
        <v>58.621085526315788</v>
      </c>
      <c r="C93" s="211">
        <f>MAX('Cost Data'!$C$46,'Cost Data'!A93/76*'Income Data'!$H$6)</f>
        <v>35</v>
      </c>
      <c r="D93" s="212">
        <f>MAX('Cost Data'!$C$46,'Cost Data'!A93/60*'Income Data'!$H$7)</f>
        <v>39.855375000000002</v>
      </c>
      <c r="E93" s="213">
        <f t="shared" si="0"/>
        <v>35</v>
      </c>
      <c r="F93" s="6"/>
    </row>
    <row r="94" spans="1:6" x14ac:dyDescent="0.3">
      <c r="A94" s="209">
        <v>28</v>
      </c>
      <c r="B94" s="210">
        <f>MAX('Cost Data'!$C$46,'Cost Data'!A94/38*'Income Data'!$H$5)</f>
        <v>60.792236842105254</v>
      </c>
      <c r="C94" s="211">
        <f>MAX('Cost Data'!$C$46,'Cost Data'!A94/76*'Income Data'!$H$6)</f>
        <v>35</v>
      </c>
      <c r="D94" s="212">
        <f>MAX('Cost Data'!$C$46,'Cost Data'!A94/60*'Income Data'!$H$7)</f>
        <v>41.331499999999998</v>
      </c>
      <c r="E94" s="213">
        <f t="shared" si="0"/>
        <v>35</v>
      </c>
      <c r="F94" s="6"/>
    </row>
    <row r="95" spans="1:6" x14ac:dyDescent="0.3">
      <c r="A95" s="209">
        <v>29</v>
      </c>
      <c r="B95" s="210">
        <f>MAX('Cost Data'!$C$46,'Cost Data'!A95/38*'Income Data'!$H$5)</f>
        <v>62.963388157894741</v>
      </c>
      <c r="C95" s="211">
        <f>MAX('Cost Data'!$C$46,'Cost Data'!A95/76*'Income Data'!$H$6)</f>
        <v>35</v>
      </c>
      <c r="D95" s="212">
        <f>MAX('Cost Data'!$C$46,'Cost Data'!A95/60*'Income Data'!$H$7)</f>
        <v>42.807625000000002</v>
      </c>
      <c r="E95" s="213">
        <f t="shared" si="0"/>
        <v>35</v>
      </c>
      <c r="F95" s="6"/>
    </row>
    <row r="96" spans="1:6" x14ac:dyDescent="0.3">
      <c r="A96" s="209">
        <v>30</v>
      </c>
      <c r="B96" s="210">
        <f>MAX('Cost Data'!$C$46,'Cost Data'!A96/38*'Income Data'!$H$5)</f>
        <v>65.134539473684214</v>
      </c>
      <c r="C96" s="211">
        <f>MAX('Cost Data'!$C$46,'Cost Data'!A96/76*'Income Data'!$H$6)</f>
        <v>35</v>
      </c>
      <c r="D96" s="212">
        <f>MAX('Cost Data'!$C$46,'Cost Data'!A96/60*'Income Data'!$H$7)</f>
        <v>44.283749999999998</v>
      </c>
      <c r="E96" s="213">
        <f t="shared" si="0"/>
        <v>35</v>
      </c>
      <c r="F96" s="6"/>
    </row>
    <row r="97" spans="1:6" x14ac:dyDescent="0.3">
      <c r="A97" s="209">
        <v>31</v>
      </c>
      <c r="B97" s="210">
        <f>MAX('Cost Data'!$C$46,'Cost Data'!A97/38*'Income Data'!$H$5)</f>
        <v>67.305690789473687</v>
      </c>
      <c r="C97" s="211">
        <f>MAX('Cost Data'!$C$46,'Cost Data'!A97/76*'Income Data'!$H$6)</f>
        <v>35</v>
      </c>
      <c r="D97" s="212">
        <f>MAX('Cost Data'!$C$46,'Cost Data'!A97/60*'Income Data'!$H$7)</f>
        <v>45.759875000000001</v>
      </c>
      <c r="E97" s="213">
        <f t="shared" si="0"/>
        <v>35</v>
      </c>
      <c r="F97" s="6"/>
    </row>
    <row r="98" spans="1:6" x14ac:dyDescent="0.3">
      <c r="A98" s="209">
        <v>32</v>
      </c>
      <c r="B98" s="210">
        <f>MAX('Cost Data'!$C$46,'Cost Data'!A98/38*'Income Data'!$H$5)</f>
        <v>69.476842105263145</v>
      </c>
      <c r="C98" s="211">
        <f>MAX('Cost Data'!$C$46,'Cost Data'!A98/76*'Income Data'!$H$6)</f>
        <v>35</v>
      </c>
      <c r="D98" s="212">
        <f>MAX('Cost Data'!$C$46,'Cost Data'!A98/60*'Income Data'!$H$7)</f>
        <v>47.235999999999997</v>
      </c>
      <c r="E98" s="213">
        <f t="shared" si="0"/>
        <v>35</v>
      </c>
      <c r="F98" s="6"/>
    </row>
    <row r="99" spans="1:6" x14ac:dyDescent="0.3">
      <c r="A99" s="209">
        <v>33</v>
      </c>
      <c r="B99" s="210">
        <f>MAX('Cost Data'!$C$46,'Cost Data'!A99/38*'Income Data'!$H$5)</f>
        <v>71.647993421052632</v>
      </c>
      <c r="C99" s="211">
        <f>MAX('Cost Data'!$C$46,'Cost Data'!A99/76*'Income Data'!$H$6)</f>
        <v>35</v>
      </c>
      <c r="D99" s="212">
        <f>MAX('Cost Data'!$C$46,'Cost Data'!A99/60*'Income Data'!$H$7)</f>
        <v>48.712125</v>
      </c>
      <c r="E99" s="213">
        <f t="shared" si="0"/>
        <v>35</v>
      </c>
      <c r="F99" s="6"/>
    </row>
    <row r="100" spans="1:6" x14ac:dyDescent="0.3">
      <c r="A100" s="209">
        <v>34</v>
      </c>
      <c r="B100" s="210">
        <f>MAX('Cost Data'!$C$46,'Cost Data'!A100/38*'Income Data'!$H$5)</f>
        <v>73.819144736842105</v>
      </c>
      <c r="C100" s="211">
        <f>MAX('Cost Data'!$C$46,'Cost Data'!A100/76*'Income Data'!$H$6)</f>
        <v>35</v>
      </c>
      <c r="D100" s="212">
        <f>MAX('Cost Data'!$C$46,'Cost Data'!A100/60*'Income Data'!$H$7)</f>
        <v>50.188249999999996</v>
      </c>
      <c r="E100" s="213">
        <f t="shared" si="0"/>
        <v>35</v>
      </c>
      <c r="F100" s="6"/>
    </row>
    <row r="101" spans="1:6" x14ac:dyDescent="0.3">
      <c r="A101" s="209">
        <v>35</v>
      </c>
      <c r="B101" s="210">
        <f>MAX('Cost Data'!$C$46,'Cost Data'!A101/38*'Income Data'!$H$5)</f>
        <v>75.990296052631578</v>
      </c>
      <c r="C101" s="211">
        <f>MAX('Cost Data'!$C$46,'Cost Data'!A101/76*'Income Data'!$H$6)</f>
        <v>35</v>
      </c>
      <c r="D101" s="212">
        <f>MAX('Cost Data'!$C$46,'Cost Data'!A101/60*'Income Data'!$H$7)</f>
        <v>51.664375</v>
      </c>
      <c r="E101" s="213">
        <f t="shared" si="0"/>
        <v>35</v>
      </c>
      <c r="F101" s="6"/>
    </row>
    <row r="102" spans="1:6" x14ac:dyDescent="0.3">
      <c r="A102" s="209">
        <v>36</v>
      </c>
      <c r="B102" s="210">
        <f>MAX('Cost Data'!$C$46,'Cost Data'!A102/38*'Income Data'!$H$5)</f>
        <v>78.161447368421051</v>
      </c>
      <c r="C102" s="211">
        <f>MAX('Cost Data'!$C$46,'Cost Data'!A102/76*'Income Data'!$H$6)</f>
        <v>35</v>
      </c>
      <c r="D102" s="212">
        <f>MAX('Cost Data'!$C$46,'Cost Data'!A102/60*'Income Data'!$H$7)</f>
        <v>53.140499999999996</v>
      </c>
      <c r="E102" s="213">
        <f t="shared" si="0"/>
        <v>35</v>
      </c>
      <c r="F102" s="6"/>
    </row>
    <row r="103" spans="1:6" x14ac:dyDescent="0.3">
      <c r="A103" s="209">
        <v>37</v>
      </c>
      <c r="B103" s="210">
        <f>MAX('Cost Data'!$C$46,'Cost Data'!A103/38*'Income Data'!$H$5)</f>
        <v>80.332598684210524</v>
      </c>
      <c r="C103" s="211">
        <f>MAX('Cost Data'!$C$46,'Cost Data'!A103/76*'Income Data'!$H$6)</f>
        <v>35</v>
      </c>
      <c r="D103" s="212">
        <f>MAX('Cost Data'!$C$46,'Cost Data'!A103/60*'Income Data'!$H$7)</f>
        <v>54.616624999999999</v>
      </c>
      <c r="E103" s="213">
        <f t="shared" si="0"/>
        <v>35</v>
      </c>
      <c r="F103" s="6"/>
    </row>
    <row r="104" spans="1:6" x14ac:dyDescent="0.3">
      <c r="A104" s="209">
        <v>38</v>
      </c>
      <c r="B104" s="210">
        <f>MAX('Cost Data'!$C$46,'Cost Data'!A104/38*'Income Data'!$H$5)</f>
        <v>82.503749999999997</v>
      </c>
      <c r="C104" s="211">
        <f>MAX('Cost Data'!$C$46,'Cost Data'!A104/76*'Income Data'!$H$6)</f>
        <v>35</v>
      </c>
      <c r="D104" s="212">
        <f>MAX('Cost Data'!$C$46,'Cost Data'!A104/60*'Income Data'!$H$7)</f>
        <v>56.092749999999995</v>
      </c>
      <c r="E104" s="213">
        <f t="shared" si="0"/>
        <v>35</v>
      </c>
      <c r="F104" s="6"/>
    </row>
    <row r="105" spans="1:6" x14ac:dyDescent="0.3">
      <c r="A105" s="209">
        <v>39</v>
      </c>
      <c r="B105" s="210">
        <f>MAX('Cost Data'!$C$46,('Cost Data'!A105-38)/38*'Income Data'!$H$5)</f>
        <v>35</v>
      </c>
      <c r="C105" s="211">
        <f>MAX('Cost Data'!$C$46,'Cost Data'!A105/76*'Income Data'!$H$6)</f>
        <v>35</v>
      </c>
      <c r="D105" s="212">
        <f>MAX('Cost Data'!$C$46,'Cost Data'!A105/60*'Income Data'!$H$7)</f>
        <v>57.568874999999998</v>
      </c>
      <c r="E105" s="213">
        <f t="shared" si="0"/>
        <v>35</v>
      </c>
      <c r="F105" s="6"/>
    </row>
    <row r="106" spans="1:6" x14ac:dyDescent="0.3">
      <c r="A106" s="209">
        <v>40</v>
      </c>
      <c r="B106" s="210">
        <f>MAX('Cost Data'!$C$46,('Cost Data'!A106-38)/38*'Income Data'!$H$5)</f>
        <v>35</v>
      </c>
      <c r="C106" s="211">
        <f>MAX('Cost Data'!$C$46,'Cost Data'!A106/76*'Income Data'!$H$6)</f>
        <v>35</v>
      </c>
      <c r="D106" s="212">
        <f>MAX('Cost Data'!$C$46,'Cost Data'!A106/60*'Income Data'!$H$7)</f>
        <v>59.044999999999995</v>
      </c>
      <c r="E106" s="213">
        <f t="shared" si="0"/>
        <v>35</v>
      </c>
      <c r="F106" s="6"/>
    </row>
    <row r="107" spans="1:6" x14ac:dyDescent="0.3">
      <c r="A107" s="209">
        <v>41</v>
      </c>
      <c r="B107" s="210">
        <f>MAX('Cost Data'!$C$46,('Cost Data'!A107-38)/38*'Income Data'!$H$5)</f>
        <v>35</v>
      </c>
      <c r="C107" s="211">
        <f>MAX('Cost Data'!$C$46,'Cost Data'!A107/76*'Income Data'!$H$6)</f>
        <v>35</v>
      </c>
      <c r="D107" s="212">
        <f>MAX('Cost Data'!$C$46,'Cost Data'!A107/60*'Income Data'!$H$7)</f>
        <v>60.521124999999998</v>
      </c>
      <c r="E107" s="213">
        <f t="shared" si="0"/>
        <v>35</v>
      </c>
      <c r="F107" s="6"/>
    </row>
    <row r="108" spans="1:6" x14ac:dyDescent="0.3">
      <c r="A108" s="209">
        <v>42</v>
      </c>
      <c r="B108" s="210">
        <f>MAX('Cost Data'!$C$46,('Cost Data'!A108-38)/38*'Income Data'!$H$5)</f>
        <v>35</v>
      </c>
      <c r="C108" s="211">
        <f>MAX('Cost Data'!$C$46,'Cost Data'!A108/76*'Income Data'!$H$6)</f>
        <v>35</v>
      </c>
      <c r="D108" s="212">
        <f>MAX('Cost Data'!$C$46,'Cost Data'!A108/60*'Income Data'!$H$7)</f>
        <v>61.997249999999994</v>
      </c>
      <c r="E108" s="213">
        <f t="shared" si="0"/>
        <v>35</v>
      </c>
      <c r="F108" s="6"/>
    </row>
    <row r="109" spans="1:6" x14ac:dyDescent="0.3">
      <c r="A109" s="209">
        <v>43</v>
      </c>
      <c r="B109" s="210">
        <f>MAX('Cost Data'!$C$46,('Cost Data'!A109-38)/38*'Income Data'!$H$5)</f>
        <v>35</v>
      </c>
      <c r="C109" s="211">
        <f>MAX('Cost Data'!$C$46,'Cost Data'!A109/76*'Income Data'!$H$6)</f>
        <v>35</v>
      </c>
      <c r="D109" s="212">
        <f>MAX('Cost Data'!$C$46,'Cost Data'!A109/60*'Income Data'!$H$7)</f>
        <v>63.473374999999997</v>
      </c>
      <c r="E109" s="213">
        <f t="shared" si="0"/>
        <v>35</v>
      </c>
      <c r="F109" s="6"/>
    </row>
    <row r="110" spans="1:6" x14ac:dyDescent="0.3">
      <c r="A110" s="209">
        <v>44</v>
      </c>
      <c r="B110" s="210">
        <f>MAX('Cost Data'!$C$46,('Cost Data'!A110-38)/38*'Income Data'!$H$5)</f>
        <v>35</v>
      </c>
      <c r="C110" s="211">
        <f>MAX('Cost Data'!$C$46,'Cost Data'!A110/76*'Income Data'!$H$6)</f>
        <v>35</v>
      </c>
      <c r="D110" s="212">
        <f>MAX('Cost Data'!$C$46,'Cost Data'!A110/60*'Income Data'!$H$7)</f>
        <v>64.949499999999986</v>
      </c>
      <c r="E110" s="213">
        <f t="shared" si="0"/>
        <v>35</v>
      </c>
      <c r="F110" s="6"/>
    </row>
    <row r="111" spans="1:6" x14ac:dyDescent="0.3">
      <c r="A111" s="209">
        <v>45</v>
      </c>
      <c r="B111" s="210">
        <f>MAX('Cost Data'!$C$46,('Cost Data'!A111-38)/38*'Income Data'!$H$5)</f>
        <v>35</v>
      </c>
      <c r="C111" s="211">
        <f>MAX('Cost Data'!$C$46,'Cost Data'!A111/76*'Income Data'!$H$6)</f>
        <v>35</v>
      </c>
      <c r="D111" s="212">
        <f>MAX('Cost Data'!$C$46,'Cost Data'!A111/60*'Income Data'!$H$7)</f>
        <v>66.425624999999997</v>
      </c>
      <c r="E111" s="213">
        <f t="shared" si="0"/>
        <v>35</v>
      </c>
      <c r="F111" s="6"/>
    </row>
    <row r="112" spans="1:6" x14ac:dyDescent="0.3">
      <c r="A112" s="209">
        <v>46</v>
      </c>
      <c r="B112" s="210">
        <f>MAX('Cost Data'!$C$46,('Cost Data'!A112-38)/38*'Income Data'!$H$5)</f>
        <v>35</v>
      </c>
      <c r="C112" s="211">
        <f>MAX('Cost Data'!$C$46,'Cost Data'!A112/76*'Income Data'!$H$6)</f>
        <v>35</v>
      </c>
      <c r="D112" s="212">
        <f>MAX('Cost Data'!$C$46,'Cost Data'!A112/60*'Income Data'!$H$7)</f>
        <v>67.901750000000007</v>
      </c>
      <c r="E112" s="213">
        <f t="shared" si="0"/>
        <v>35</v>
      </c>
      <c r="F112" s="6"/>
    </row>
    <row r="113" spans="1:6" x14ac:dyDescent="0.3">
      <c r="A113" s="209">
        <v>47</v>
      </c>
      <c r="B113" s="210">
        <f>MAX('Cost Data'!$C$46,('Cost Data'!A113-38)/38*'Income Data'!$H$5)</f>
        <v>35</v>
      </c>
      <c r="C113" s="211">
        <f>MAX('Cost Data'!$C$46,'Cost Data'!A113/76*'Income Data'!$H$6)</f>
        <v>35.226809210526319</v>
      </c>
      <c r="D113" s="212">
        <f>MAX('Cost Data'!$C$46,'Cost Data'!A113/60*'Income Data'!$H$7)</f>
        <v>69.377874999999989</v>
      </c>
      <c r="E113" s="213">
        <f t="shared" si="0"/>
        <v>35</v>
      </c>
      <c r="F113" s="6"/>
    </row>
    <row r="114" spans="1:6" x14ac:dyDescent="0.3">
      <c r="A114" s="209">
        <v>48</v>
      </c>
      <c r="B114" s="210">
        <f>MAX('Cost Data'!$C$46,('Cost Data'!A114-38)/38*'Income Data'!$H$5)</f>
        <v>35</v>
      </c>
      <c r="C114" s="211">
        <f>MAX('Cost Data'!$C$46,'Cost Data'!A114/76*'Income Data'!$H$6)</f>
        <v>35.976315789473681</v>
      </c>
      <c r="D114" s="212">
        <f>MAX('Cost Data'!$C$46,'Cost Data'!A114/60*'Income Data'!$H$7)</f>
        <v>70.853999999999999</v>
      </c>
      <c r="E114" s="213">
        <f t="shared" si="0"/>
        <v>35</v>
      </c>
      <c r="F114" s="6"/>
    </row>
    <row r="115" spans="1:6" x14ac:dyDescent="0.3">
      <c r="A115" s="209">
        <v>49</v>
      </c>
      <c r="B115" s="210">
        <f>MAX('Cost Data'!$C$46,('Cost Data'!A115-38)/38*'Income Data'!$H$5)</f>
        <v>35</v>
      </c>
      <c r="C115" s="211">
        <f>MAX('Cost Data'!$C$46,'Cost Data'!A115/76*'Income Data'!$H$6)</f>
        <v>36.725822368421049</v>
      </c>
      <c r="D115" s="212">
        <f>MAX('Cost Data'!$C$46,'Cost Data'!A115/60*'Income Data'!$H$7)</f>
        <v>72.330124999999995</v>
      </c>
      <c r="E115" s="213">
        <f t="shared" si="0"/>
        <v>35</v>
      </c>
      <c r="F115" s="6"/>
    </row>
    <row r="116" spans="1:6" x14ac:dyDescent="0.3">
      <c r="A116" s="209">
        <v>50</v>
      </c>
      <c r="B116" s="210">
        <f>MAX('Cost Data'!$C$46,('Cost Data'!A116-38)/38*'Income Data'!$H$5)</f>
        <v>35</v>
      </c>
      <c r="C116" s="211">
        <f>MAX('Cost Data'!$C$46,'Cost Data'!A116/76*'Income Data'!$H$6)</f>
        <v>37.475328947368425</v>
      </c>
      <c r="D116" s="212">
        <f>MAX('Cost Data'!$C$46,'Cost Data'!A116/60*'Income Data'!$H$7)</f>
        <v>73.806250000000006</v>
      </c>
      <c r="E116" s="213">
        <f t="shared" si="0"/>
        <v>35</v>
      </c>
      <c r="F116" s="6"/>
    </row>
    <row r="117" spans="1:6" x14ac:dyDescent="0.3">
      <c r="A117" s="209">
        <v>51</v>
      </c>
      <c r="B117" s="210">
        <f>MAX('Cost Data'!$C$46,('Cost Data'!A117-38)/38*'Income Data'!$H$5)</f>
        <v>35</v>
      </c>
      <c r="C117" s="211">
        <f>MAX('Cost Data'!$C$46,'Cost Data'!A117/76*'Income Data'!$H$6)</f>
        <v>38.224835526315786</v>
      </c>
      <c r="D117" s="212">
        <f>MAX('Cost Data'!$C$46,'Cost Data'!A117/60*'Income Data'!$H$7)</f>
        <v>75.282374999999988</v>
      </c>
      <c r="E117" s="213">
        <f t="shared" si="0"/>
        <v>35</v>
      </c>
      <c r="F117" s="6"/>
    </row>
    <row r="118" spans="1:6" x14ac:dyDescent="0.3">
      <c r="A118" s="209">
        <v>52</v>
      </c>
      <c r="B118" s="210">
        <f>MAX('Cost Data'!$C$46,('Cost Data'!A118-38)/38*'Income Data'!$H$5)</f>
        <v>35</v>
      </c>
      <c r="C118" s="211">
        <f>MAX('Cost Data'!$C$46,'Cost Data'!A118/76*'Income Data'!$H$6)</f>
        <v>38.974342105263155</v>
      </c>
      <c r="D118" s="212">
        <f>MAX('Cost Data'!$C$46,'Cost Data'!A118/60*'Income Data'!$H$7)</f>
        <v>76.758499999999998</v>
      </c>
      <c r="E118" s="213">
        <f t="shared" si="0"/>
        <v>35</v>
      </c>
      <c r="F118" s="6"/>
    </row>
    <row r="119" spans="1:6" x14ac:dyDescent="0.3">
      <c r="A119" s="209">
        <v>53</v>
      </c>
      <c r="B119" s="210">
        <f>MAX('Cost Data'!$C$46,('Cost Data'!A119-38)/38*'Income Data'!$H$5)</f>
        <v>35</v>
      </c>
      <c r="C119" s="211">
        <f>MAX('Cost Data'!$C$46,'Cost Data'!A119/76*'Income Data'!$H$6)</f>
        <v>39.723848684210523</v>
      </c>
      <c r="D119" s="212">
        <f>MAX('Cost Data'!$C$46,'Cost Data'!A119/60*'Income Data'!$H$7)</f>
        <v>78.234624999999994</v>
      </c>
      <c r="E119" s="213">
        <f t="shared" si="0"/>
        <v>35</v>
      </c>
      <c r="F119" s="6"/>
    </row>
    <row r="120" spans="1:6" x14ac:dyDescent="0.3">
      <c r="A120" s="209">
        <v>54</v>
      </c>
      <c r="B120" s="210">
        <f>MAX('Cost Data'!$C$46,('Cost Data'!A120-38)/38*'Income Data'!$H$5)</f>
        <v>35</v>
      </c>
      <c r="C120" s="211">
        <f>MAX('Cost Data'!$C$46,'Cost Data'!A120/76*'Income Data'!$H$6)</f>
        <v>40.473355263157892</v>
      </c>
      <c r="D120" s="212">
        <f>MAX('Cost Data'!$C$46,'Cost Data'!A120/60*'Income Data'!$H$7)</f>
        <v>79.710750000000004</v>
      </c>
      <c r="E120" s="213">
        <f t="shared" si="0"/>
        <v>35</v>
      </c>
      <c r="F120" s="6"/>
    </row>
    <row r="121" spans="1:6" x14ac:dyDescent="0.3">
      <c r="A121" s="209">
        <v>55</v>
      </c>
      <c r="B121" s="210">
        <f>MAX('Cost Data'!$C$46,('Cost Data'!A121-38)/38*'Income Data'!$H$5)</f>
        <v>36.909572368421053</v>
      </c>
      <c r="C121" s="211">
        <f>MAX('Cost Data'!$C$46,'Cost Data'!A121/76*'Income Data'!$H$6)</f>
        <v>41.222861842105267</v>
      </c>
      <c r="D121" s="212">
        <f>MAX('Cost Data'!$C$46,'Cost Data'!A121/60*'Income Data'!$H$7)</f>
        <v>81.186874999999986</v>
      </c>
      <c r="E121" s="213">
        <f t="shared" si="0"/>
        <v>35</v>
      </c>
      <c r="F121" s="6"/>
    </row>
    <row r="122" spans="1:6" x14ac:dyDescent="0.3">
      <c r="A122" s="209">
        <v>56</v>
      </c>
      <c r="B122" s="210">
        <f>MAX('Cost Data'!$C$46,('Cost Data'!A122-38)/38*'Income Data'!$H$5)</f>
        <v>39.080723684210525</v>
      </c>
      <c r="C122" s="211">
        <f>MAX('Cost Data'!$C$46,'Cost Data'!A122/76*'Income Data'!$H$6)</f>
        <v>41.972368421052629</v>
      </c>
      <c r="D122" s="212">
        <f>MAX('Cost Data'!$C$46,'Cost Data'!A122/60*'Income Data'!$H$7)</f>
        <v>82.662999999999997</v>
      </c>
      <c r="E122" s="213">
        <f t="shared" si="0"/>
        <v>35</v>
      </c>
      <c r="F122" s="6"/>
    </row>
    <row r="123" spans="1:6" x14ac:dyDescent="0.3">
      <c r="A123" s="209">
        <v>57</v>
      </c>
      <c r="B123" s="210">
        <f>MAX('Cost Data'!$C$46,('Cost Data'!A123-38)/38*'Income Data'!$H$5)</f>
        <v>41.251874999999998</v>
      </c>
      <c r="C123" s="211">
        <f>MAX('Cost Data'!$C$46,'Cost Data'!A123/76*'Income Data'!$H$6)</f>
        <v>42.721874999999997</v>
      </c>
      <c r="D123" s="212">
        <f>MAX('Cost Data'!$C$46,'Cost Data'!A123/60*'Income Data'!$H$7)</f>
        <v>84.139124999999993</v>
      </c>
      <c r="E123" s="213">
        <f t="shared" si="0"/>
        <v>35</v>
      </c>
      <c r="F123" s="6"/>
    </row>
    <row r="124" spans="1:6" x14ac:dyDescent="0.3">
      <c r="A124" s="209">
        <v>58</v>
      </c>
      <c r="B124" s="210">
        <f>MAX('Cost Data'!$C$46,('Cost Data'!A124-38)/38*'Income Data'!$H$5)</f>
        <v>43.423026315789471</v>
      </c>
      <c r="C124" s="211">
        <f>MAX('Cost Data'!$C$46,'Cost Data'!A124/76*'Income Data'!$H$6)</f>
        <v>43.471381578947373</v>
      </c>
      <c r="D124" s="212">
        <f>MAX('Cost Data'!$C$46,'Cost Data'!A124/60*'Income Data'!$H$7)</f>
        <v>85.615250000000003</v>
      </c>
      <c r="E124" s="213">
        <f t="shared" si="0"/>
        <v>35</v>
      </c>
      <c r="F124" s="6"/>
    </row>
    <row r="125" spans="1:6" x14ac:dyDescent="0.3">
      <c r="A125" s="209">
        <v>59</v>
      </c>
      <c r="B125" s="210">
        <f>MAX('Cost Data'!$C$46,('Cost Data'!A125-38)/38*'Income Data'!$H$5)</f>
        <v>45.594177631578951</v>
      </c>
      <c r="C125" s="211">
        <f>MAX('Cost Data'!$C$46,'Cost Data'!A125/76*'Income Data'!$H$6)</f>
        <v>44.220888157894734</v>
      </c>
      <c r="D125" s="212">
        <f>MAX('Cost Data'!$C$46,'Cost Data'!A125/60*'Income Data'!$H$7)</f>
        <v>87.091374999999985</v>
      </c>
      <c r="E125" s="213">
        <f t="shared" si="0"/>
        <v>35</v>
      </c>
      <c r="F125" s="6"/>
    </row>
    <row r="126" spans="1:6" x14ac:dyDescent="0.3">
      <c r="A126" s="209">
        <v>60</v>
      </c>
      <c r="B126" s="210">
        <f>MAX('Cost Data'!$C$46,('Cost Data'!A126-38)/38*'Income Data'!$H$5)</f>
        <v>47.765328947368424</v>
      </c>
      <c r="C126" s="211">
        <f>MAX('Cost Data'!$C$46,'Cost Data'!A126/76*'Income Data'!$H$6)</f>
        <v>44.970394736842103</v>
      </c>
      <c r="D126" s="212">
        <f>MAX('Cost Data'!$C$46,'Cost Data'!A126/60*'Income Data'!$H$7)</f>
        <v>88.567499999999995</v>
      </c>
      <c r="E126" s="213">
        <f t="shared" si="0"/>
        <v>35</v>
      </c>
      <c r="F126" s="6"/>
    </row>
    <row r="127" spans="1:6" x14ac:dyDescent="0.3">
      <c r="A127" s="209">
        <v>61</v>
      </c>
      <c r="B127" s="210">
        <f>MAX('Cost Data'!$C$46,('Cost Data'!A127-38)/38*'Income Data'!$H$5)</f>
        <v>49.93648026315789</v>
      </c>
      <c r="C127" s="211">
        <f>MAX('Cost Data'!$C$46,'Cost Data'!A127/76*'Income Data'!$H$6)</f>
        <v>45.719901315789478</v>
      </c>
      <c r="D127" s="212">
        <f>MAX('Cost Data'!$C$46,('Cost Data'!A127-60)/60*'Income Data'!$H$7)</f>
        <v>35</v>
      </c>
      <c r="E127" s="213">
        <f t="shared" si="0"/>
        <v>35</v>
      </c>
      <c r="F127" s="6"/>
    </row>
    <row r="128" spans="1:6" x14ac:dyDescent="0.3">
      <c r="A128" s="209">
        <v>62</v>
      </c>
      <c r="B128" s="210">
        <f>MAX('Cost Data'!$C$46,('Cost Data'!A128-38)/38*'Income Data'!$H$5)</f>
        <v>52.107631578947363</v>
      </c>
      <c r="C128" s="211">
        <f>MAX('Cost Data'!$C$46,'Cost Data'!A128/76*'Income Data'!$H$6)</f>
        <v>46.46940789473684</v>
      </c>
      <c r="D128" s="212">
        <f>MAX('Cost Data'!$C$46,('Cost Data'!A128-60)/60*'Income Data'!$H$7)</f>
        <v>35</v>
      </c>
      <c r="E128" s="213">
        <f t="shared" si="0"/>
        <v>35</v>
      </c>
      <c r="F128" s="6"/>
    </row>
    <row r="129" spans="1:6" x14ac:dyDescent="0.3">
      <c r="A129" s="209">
        <v>63</v>
      </c>
      <c r="B129" s="210">
        <f>MAX('Cost Data'!$C$46,('Cost Data'!A129-38)/38*'Income Data'!$H$5)</f>
        <v>54.278782894736842</v>
      </c>
      <c r="C129" s="211">
        <f>MAX('Cost Data'!$C$46,'Cost Data'!A129/76*'Income Data'!$H$6)</f>
        <v>47.218914473684208</v>
      </c>
      <c r="D129" s="212">
        <f>MAX('Cost Data'!$C$46,('Cost Data'!A129-60)/60*'Income Data'!$H$7)</f>
        <v>35</v>
      </c>
      <c r="E129" s="213">
        <f t="shared" si="0"/>
        <v>35</v>
      </c>
      <c r="F129" s="6"/>
    </row>
    <row r="130" spans="1:6" x14ac:dyDescent="0.3">
      <c r="A130" s="209">
        <v>64</v>
      </c>
      <c r="B130" s="210">
        <f>MAX('Cost Data'!$C$46,('Cost Data'!A130-38)/38*'Income Data'!$H$5)</f>
        <v>56.449934210526315</v>
      </c>
      <c r="C130" s="211">
        <f>MAX('Cost Data'!$C$46,'Cost Data'!A130/76*'Income Data'!$H$6)</f>
        <v>47.968421052631577</v>
      </c>
      <c r="D130" s="212">
        <f>MAX('Cost Data'!$C$46,('Cost Data'!A130-60)/60*'Income Data'!$H$7)</f>
        <v>35</v>
      </c>
      <c r="E130" s="213">
        <f t="shared" si="0"/>
        <v>35</v>
      </c>
      <c r="F130" s="6"/>
    </row>
    <row r="131" spans="1:6" x14ac:dyDescent="0.3">
      <c r="A131" s="209">
        <v>65</v>
      </c>
      <c r="B131" s="210">
        <f>MAX('Cost Data'!$C$46,('Cost Data'!A131-38)/38*'Income Data'!$H$5)</f>
        <v>58.621085526315788</v>
      </c>
      <c r="C131" s="211">
        <f>MAX('Cost Data'!$C$46,'Cost Data'!A131/76*'Income Data'!$H$6)</f>
        <v>48.717927631578945</v>
      </c>
      <c r="D131" s="212">
        <f>MAX('Cost Data'!$C$46,('Cost Data'!A131-60)/60*'Income Data'!$H$7)</f>
        <v>35</v>
      </c>
      <c r="E131" s="213">
        <f t="shared" si="0"/>
        <v>35</v>
      </c>
      <c r="F131" s="6"/>
    </row>
    <row r="132" spans="1:6" x14ac:dyDescent="0.3">
      <c r="A132" s="209">
        <v>66</v>
      </c>
      <c r="B132" s="210">
        <f>MAX('Cost Data'!$C$46,('Cost Data'!A132-38)/38*'Income Data'!$H$5)</f>
        <v>60.792236842105254</v>
      </c>
      <c r="C132" s="211">
        <f>MAX('Cost Data'!$C$46,'Cost Data'!A132/76*'Income Data'!$H$6)</f>
        <v>49.467434210526314</v>
      </c>
      <c r="D132" s="212">
        <f>MAX('Cost Data'!$C$46,('Cost Data'!A132-60)/60*'Income Data'!$H$7)</f>
        <v>35</v>
      </c>
      <c r="E132" s="213">
        <f t="shared" ref="E132:E166" si="1">$C$46</f>
        <v>35</v>
      </c>
      <c r="F132" s="6"/>
    </row>
    <row r="133" spans="1:6" x14ac:dyDescent="0.3">
      <c r="A133" s="209">
        <v>67</v>
      </c>
      <c r="B133" s="210">
        <f>MAX('Cost Data'!$C$46,('Cost Data'!A133-38)/38*'Income Data'!$H$5)</f>
        <v>62.963388157894741</v>
      </c>
      <c r="C133" s="211">
        <f>MAX('Cost Data'!$C$46,'Cost Data'!A133/76*'Income Data'!$H$6)</f>
        <v>50.216940789473682</v>
      </c>
      <c r="D133" s="212">
        <f>MAX('Cost Data'!$C$46,('Cost Data'!A133-60)/60*'Income Data'!$H$7)</f>
        <v>35</v>
      </c>
      <c r="E133" s="213">
        <f t="shared" si="1"/>
        <v>35</v>
      </c>
      <c r="F133" s="6"/>
    </row>
    <row r="134" spans="1:6" x14ac:dyDescent="0.3">
      <c r="A134" s="209">
        <v>68</v>
      </c>
      <c r="B134" s="210">
        <f>MAX('Cost Data'!$C$46,('Cost Data'!A134-38)/38*'Income Data'!$H$5)</f>
        <v>65.134539473684214</v>
      </c>
      <c r="C134" s="211">
        <f>MAX('Cost Data'!$C$46,'Cost Data'!A134/76*'Income Data'!$H$6)</f>
        <v>50.966447368421051</v>
      </c>
      <c r="D134" s="212">
        <f>MAX('Cost Data'!$C$46,('Cost Data'!A134-60)/60*'Income Data'!$H$7)</f>
        <v>35</v>
      </c>
      <c r="E134" s="213">
        <f t="shared" si="1"/>
        <v>35</v>
      </c>
      <c r="F134" s="6"/>
    </row>
    <row r="135" spans="1:6" x14ac:dyDescent="0.3">
      <c r="A135" s="209">
        <v>69</v>
      </c>
      <c r="B135" s="210">
        <f>MAX('Cost Data'!$C$46,('Cost Data'!A135-38)/38*'Income Data'!$H$5)</f>
        <v>67.305690789473687</v>
      </c>
      <c r="C135" s="211">
        <f>MAX('Cost Data'!$C$46,'Cost Data'!A135/76*'Income Data'!$H$6)</f>
        <v>51.715953947368419</v>
      </c>
      <c r="D135" s="212">
        <f>MAX('Cost Data'!$C$46,('Cost Data'!A135-60)/60*'Income Data'!$H$7)</f>
        <v>35</v>
      </c>
      <c r="E135" s="213">
        <f t="shared" si="1"/>
        <v>35</v>
      </c>
      <c r="F135" s="6"/>
    </row>
    <row r="136" spans="1:6" x14ac:dyDescent="0.3">
      <c r="A136" s="209">
        <v>70</v>
      </c>
      <c r="B136" s="210">
        <f>MAX('Cost Data'!$C$46,('Cost Data'!A136-38)/38*'Income Data'!$H$5)</f>
        <v>69.476842105263145</v>
      </c>
      <c r="C136" s="211">
        <f>MAX('Cost Data'!$C$46,'Cost Data'!A136/76*'Income Data'!$H$6)</f>
        <v>52.465460526315788</v>
      </c>
      <c r="D136" s="212">
        <f>MAX('Cost Data'!$C$46,('Cost Data'!A136-60)/60*'Income Data'!$H$7)</f>
        <v>35</v>
      </c>
      <c r="E136" s="213">
        <f t="shared" si="1"/>
        <v>35</v>
      </c>
      <c r="F136" s="6"/>
    </row>
    <row r="137" spans="1:6" x14ac:dyDescent="0.3">
      <c r="A137" s="209">
        <v>71</v>
      </c>
      <c r="B137" s="210">
        <f>MAX('Cost Data'!$C$46,('Cost Data'!A137-38)/38*'Income Data'!$H$5)</f>
        <v>71.647993421052632</v>
      </c>
      <c r="C137" s="211">
        <f>MAX('Cost Data'!$C$46,'Cost Data'!A137/76*'Income Data'!$H$6)</f>
        <v>53.214967105263156</v>
      </c>
      <c r="D137" s="212">
        <f>MAX('Cost Data'!$C$46,('Cost Data'!A137-60)/60*'Income Data'!$H$7)</f>
        <v>35</v>
      </c>
      <c r="E137" s="213">
        <f t="shared" si="1"/>
        <v>35</v>
      </c>
      <c r="F137" s="6"/>
    </row>
    <row r="138" spans="1:6" x14ac:dyDescent="0.3">
      <c r="A138" s="209">
        <v>72</v>
      </c>
      <c r="B138" s="210">
        <f>MAX('Cost Data'!$C$46,('Cost Data'!A138-38)/38*'Income Data'!$H$5)</f>
        <v>73.819144736842105</v>
      </c>
      <c r="C138" s="211">
        <f>MAX('Cost Data'!$C$46,'Cost Data'!A138/76*'Income Data'!$H$6)</f>
        <v>53.964473684210525</v>
      </c>
      <c r="D138" s="212">
        <f>MAX('Cost Data'!$C$46,('Cost Data'!A138-60)/60*'Income Data'!$H$7)</f>
        <v>35</v>
      </c>
      <c r="E138" s="213">
        <f t="shared" si="1"/>
        <v>35</v>
      </c>
      <c r="F138" s="6"/>
    </row>
    <row r="139" spans="1:6" x14ac:dyDescent="0.3">
      <c r="A139" s="209">
        <v>73</v>
      </c>
      <c r="B139" s="210">
        <f>MAX('Cost Data'!$C$46,('Cost Data'!A139-38)/38*'Income Data'!$H$5)</f>
        <v>75.990296052631578</v>
      </c>
      <c r="C139" s="211">
        <f>MAX('Cost Data'!$C$46,'Cost Data'!A139/76*'Income Data'!$H$6)</f>
        <v>54.713980263157893</v>
      </c>
      <c r="D139" s="212">
        <f>MAX('Cost Data'!$C$46,('Cost Data'!A139-60)/60*'Income Data'!$H$7)</f>
        <v>35</v>
      </c>
      <c r="E139" s="213">
        <f t="shared" si="1"/>
        <v>35</v>
      </c>
      <c r="F139" s="6"/>
    </row>
    <row r="140" spans="1:6" x14ac:dyDescent="0.3">
      <c r="A140" s="209">
        <v>74</v>
      </c>
      <c r="B140" s="210">
        <f>MAX('Cost Data'!$C$46,('Cost Data'!A140-38)/38*'Income Data'!$H$5)</f>
        <v>78.161447368421051</v>
      </c>
      <c r="C140" s="211">
        <f>MAX('Cost Data'!$C$46,'Cost Data'!A140/76*'Income Data'!$H$6)</f>
        <v>55.463486842105262</v>
      </c>
      <c r="D140" s="212">
        <f>MAX('Cost Data'!$C$46,('Cost Data'!A140-60)/60*'Income Data'!$H$7)</f>
        <v>35</v>
      </c>
      <c r="E140" s="213">
        <f t="shared" si="1"/>
        <v>35</v>
      </c>
      <c r="F140" s="6"/>
    </row>
    <row r="141" spans="1:6" x14ac:dyDescent="0.3">
      <c r="A141" s="209">
        <v>75</v>
      </c>
      <c r="B141" s="210">
        <f>MAX('Cost Data'!$C$46,('Cost Data'!A141-38)/38*'Income Data'!$H$5)</f>
        <v>80.332598684210524</v>
      </c>
      <c r="C141" s="211">
        <f>MAX('Cost Data'!$C$46,'Cost Data'!A141/76*'Income Data'!$H$6)</f>
        <v>56.21299342105263</v>
      </c>
      <c r="D141" s="212">
        <f>MAX('Cost Data'!$C$46,('Cost Data'!A141-60)/60*'Income Data'!$H$7)</f>
        <v>35</v>
      </c>
      <c r="E141" s="213">
        <f t="shared" si="1"/>
        <v>35</v>
      </c>
      <c r="F141" s="6"/>
    </row>
    <row r="142" spans="1:6" x14ac:dyDescent="0.3">
      <c r="A142" s="209">
        <v>76</v>
      </c>
      <c r="B142" s="210">
        <f>MAX('Cost Data'!$C$46,('Cost Data'!A142-38)/38*'Income Data'!$H$5)</f>
        <v>82.503749999999997</v>
      </c>
      <c r="C142" s="211">
        <f>MAX('Cost Data'!$C$46,'Cost Data'!A142/76*'Income Data'!$H$6)</f>
        <v>56.962499999999999</v>
      </c>
      <c r="D142" s="212">
        <f>MAX('Cost Data'!$C$46,('Cost Data'!A142-60)/60*'Income Data'!$H$7)</f>
        <v>35</v>
      </c>
      <c r="E142" s="213">
        <f t="shared" si="1"/>
        <v>35</v>
      </c>
      <c r="F142" s="6"/>
    </row>
    <row r="143" spans="1:6" x14ac:dyDescent="0.3">
      <c r="A143" s="209">
        <v>77</v>
      </c>
      <c r="B143" s="210">
        <f>MAX('Cost Data'!$C$46,('Cost Data'!A143-2*38)/38*'Income Data'!$H$5)</f>
        <v>35</v>
      </c>
      <c r="C143" s="211">
        <f>MAX('Cost Data'!$C$46,('Cost Data'!A143-76)/76*'Income Data'!$H$6)</f>
        <v>35</v>
      </c>
      <c r="D143" s="212">
        <f>MAX('Cost Data'!$C$46,('Cost Data'!A143-60)/60*'Income Data'!$H$7)</f>
        <v>35</v>
      </c>
      <c r="E143" s="213">
        <f t="shared" si="1"/>
        <v>35</v>
      </c>
      <c r="F143" s="6"/>
    </row>
    <row r="144" spans="1:6" x14ac:dyDescent="0.3">
      <c r="A144" s="209">
        <v>78</v>
      </c>
      <c r="B144" s="210">
        <f>MAX('Cost Data'!$C$46,('Cost Data'!A144-2*38)/38*'Income Data'!$H$5)</f>
        <v>35</v>
      </c>
      <c r="C144" s="211">
        <f>MAX('Cost Data'!$C$46,('Cost Data'!A144-76)/76*'Income Data'!$H$6)</f>
        <v>35</v>
      </c>
      <c r="D144" s="212">
        <f>MAX('Cost Data'!$C$46,('Cost Data'!A144-60)/60*'Income Data'!$H$7)</f>
        <v>35</v>
      </c>
      <c r="E144" s="213">
        <f t="shared" si="1"/>
        <v>35</v>
      </c>
      <c r="F144" s="6"/>
    </row>
    <row r="145" spans="1:6" x14ac:dyDescent="0.3">
      <c r="A145" s="209">
        <v>79</v>
      </c>
      <c r="B145" s="210">
        <f>MAX('Cost Data'!$C$46,('Cost Data'!A145-2*38)/38*'Income Data'!$H$5)</f>
        <v>35</v>
      </c>
      <c r="C145" s="211">
        <f>MAX('Cost Data'!$C$46,('Cost Data'!A145-76)/76*'Income Data'!$H$6)</f>
        <v>35</v>
      </c>
      <c r="D145" s="212">
        <f>MAX('Cost Data'!$C$46,('Cost Data'!A145-60)/60*'Income Data'!$H$7)</f>
        <v>35</v>
      </c>
      <c r="E145" s="213">
        <f t="shared" si="1"/>
        <v>35</v>
      </c>
      <c r="F145" s="6"/>
    </row>
    <row r="146" spans="1:6" x14ac:dyDescent="0.3">
      <c r="A146" s="209">
        <v>80</v>
      </c>
      <c r="B146" s="210">
        <f>MAX('Cost Data'!$C$46,('Cost Data'!A146-2*38)/38*'Income Data'!$H$5)</f>
        <v>35</v>
      </c>
      <c r="C146" s="211">
        <f>MAX('Cost Data'!$C$46,('Cost Data'!A146-76)/76*'Income Data'!$H$6)</f>
        <v>35</v>
      </c>
      <c r="D146" s="212">
        <f>MAX('Cost Data'!$C$46,('Cost Data'!A146-60)/60*'Income Data'!$H$7)</f>
        <v>35</v>
      </c>
      <c r="E146" s="213">
        <f t="shared" si="1"/>
        <v>35</v>
      </c>
      <c r="F146" s="6"/>
    </row>
    <row r="147" spans="1:6" x14ac:dyDescent="0.3">
      <c r="A147" s="209">
        <v>81</v>
      </c>
      <c r="B147" s="210">
        <f>MAX('Cost Data'!$C$46,('Cost Data'!A147-2*38)/38*'Income Data'!$H$5)</f>
        <v>35</v>
      </c>
      <c r="C147" s="211">
        <f>MAX('Cost Data'!$C$46,('Cost Data'!A147-76)/76*'Income Data'!$H$6)</f>
        <v>35</v>
      </c>
      <c r="D147" s="212">
        <f>MAX('Cost Data'!$C$46,('Cost Data'!A147-60)/60*'Income Data'!$H$7)</f>
        <v>35</v>
      </c>
      <c r="E147" s="213">
        <f t="shared" si="1"/>
        <v>35</v>
      </c>
      <c r="F147" s="6"/>
    </row>
    <row r="148" spans="1:6" x14ac:dyDescent="0.3">
      <c r="A148" s="209">
        <v>82</v>
      </c>
      <c r="B148" s="210">
        <f>MAX('Cost Data'!$C$46,('Cost Data'!A148-2*38)/38*'Income Data'!$H$5)</f>
        <v>35</v>
      </c>
      <c r="C148" s="211">
        <f>MAX('Cost Data'!$C$46,('Cost Data'!A148-76)/76*'Income Data'!$H$6)</f>
        <v>35</v>
      </c>
      <c r="D148" s="212">
        <f>MAX('Cost Data'!$C$46,('Cost Data'!A148-60)/60*'Income Data'!$H$7)</f>
        <v>35</v>
      </c>
      <c r="E148" s="213">
        <f t="shared" si="1"/>
        <v>35</v>
      </c>
      <c r="F148" s="6"/>
    </row>
    <row r="149" spans="1:6" x14ac:dyDescent="0.3">
      <c r="A149" s="209">
        <v>83</v>
      </c>
      <c r="B149" s="210">
        <f>MAX('Cost Data'!$C$46,('Cost Data'!A149-2*38)/38*'Income Data'!$H$5)</f>
        <v>35</v>
      </c>
      <c r="C149" s="211">
        <f>MAX('Cost Data'!$C$46,('Cost Data'!A149-76)/76*'Income Data'!$H$6)</f>
        <v>35</v>
      </c>
      <c r="D149" s="212">
        <f>MAX('Cost Data'!$C$46,('Cost Data'!A149-60)/60*'Income Data'!$H$7)</f>
        <v>35</v>
      </c>
      <c r="E149" s="213">
        <f t="shared" si="1"/>
        <v>35</v>
      </c>
      <c r="F149" s="6"/>
    </row>
    <row r="150" spans="1:6" x14ac:dyDescent="0.3">
      <c r="A150" s="209">
        <v>84</v>
      </c>
      <c r="B150" s="210">
        <f>MAX('Cost Data'!$C$46,('Cost Data'!A150-2*38)/38*'Income Data'!$H$5)</f>
        <v>35</v>
      </c>
      <c r="C150" s="211">
        <f>MAX('Cost Data'!$C$46,('Cost Data'!A150-76)/76*'Income Data'!$H$6)</f>
        <v>35</v>
      </c>
      <c r="D150" s="212">
        <f>MAX('Cost Data'!$C$46,('Cost Data'!A150-60)/60*'Income Data'!$H$7)</f>
        <v>35.427</v>
      </c>
      <c r="E150" s="213">
        <f t="shared" si="1"/>
        <v>35</v>
      </c>
      <c r="F150" s="6"/>
    </row>
    <row r="151" spans="1:6" x14ac:dyDescent="0.3">
      <c r="A151" s="209">
        <v>85</v>
      </c>
      <c r="B151" s="210">
        <f>MAX('Cost Data'!$C$46,('Cost Data'!A151-2*38)/38*'Income Data'!$H$5)</f>
        <v>35</v>
      </c>
      <c r="C151" s="211">
        <f>MAX('Cost Data'!$C$46,('Cost Data'!A151-76)/76*'Income Data'!$H$6)</f>
        <v>35</v>
      </c>
      <c r="D151" s="212">
        <f>MAX('Cost Data'!$C$46,('Cost Data'!A151-60)/60*'Income Data'!$H$7)</f>
        <v>36.903125000000003</v>
      </c>
      <c r="E151" s="213">
        <f t="shared" si="1"/>
        <v>35</v>
      </c>
      <c r="F151" s="6"/>
    </row>
    <row r="152" spans="1:6" x14ac:dyDescent="0.3">
      <c r="A152" s="209">
        <v>86</v>
      </c>
      <c r="B152" s="210">
        <f>MAX('Cost Data'!$C$46,('Cost Data'!A152-2*38)/38*'Income Data'!$H$5)</f>
        <v>35</v>
      </c>
      <c r="C152" s="211">
        <f>MAX('Cost Data'!$C$46,('Cost Data'!A152-76)/76*'Income Data'!$H$6)</f>
        <v>35</v>
      </c>
      <c r="D152" s="212">
        <f>MAX('Cost Data'!$C$46,('Cost Data'!A152-60)/60*'Income Data'!$H$7)</f>
        <v>38.379249999999999</v>
      </c>
      <c r="E152" s="213">
        <f t="shared" si="1"/>
        <v>35</v>
      </c>
      <c r="F152" s="6"/>
    </row>
    <row r="153" spans="1:6" x14ac:dyDescent="0.3">
      <c r="A153" s="209">
        <v>87</v>
      </c>
      <c r="B153" s="210">
        <f>MAX('Cost Data'!$C$46,('Cost Data'!A153-2*38)/38*'Income Data'!$H$5)</f>
        <v>35</v>
      </c>
      <c r="C153" s="211">
        <f>MAX('Cost Data'!$C$46,('Cost Data'!A153-76)/76*'Income Data'!$H$6)</f>
        <v>35</v>
      </c>
      <c r="D153" s="212">
        <f>MAX('Cost Data'!$C$46,('Cost Data'!A153-60)/60*'Income Data'!$H$7)</f>
        <v>39.855375000000002</v>
      </c>
      <c r="E153" s="213">
        <f t="shared" si="1"/>
        <v>35</v>
      </c>
      <c r="F153" s="6"/>
    </row>
    <row r="154" spans="1:6" x14ac:dyDescent="0.3">
      <c r="A154" s="209">
        <v>88</v>
      </c>
      <c r="B154" s="210">
        <f>MAX('Cost Data'!$C$46,('Cost Data'!A154-2*38)/38*'Income Data'!$H$5)</f>
        <v>35</v>
      </c>
      <c r="C154" s="211">
        <f>MAX('Cost Data'!$C$46,('Cost Data'!A154-76)/76*'Income Data'!$H$6)</f>
        <v>35</v>
      </c>
      <c r="D154" s="212">
        <f>MAX('Cost Data'!$C$46,('Cost Data'!A154-60)/60*'Income Data'!$H$7)</f>
        <v>41.331499999999998</v>
      </c>
      <c r="E154" s="213">
        <f t="shared" si="1"/>
        <v>35</v>
      </c>
      <c r="F154" s="6"/>
    </row>
    <row r="155" spans="1:6" x14ac:dyDescent="0.3">
      <c r="A155" s="209">
        <v>89</v>
      </c>
      <c r="B155" s="210">
        <f>MAX('Cost Data'!$C$46,('Cost Data'!A155-2*38)/38*'Income Data'!$H$5)</f>
        <v>35</v>
      </c>
      <c r="C155" s="211">
        <f>MAX('Cost Data'!$C$46,('Cost Data'!A155-76)/76*'Income Data'!$H$6)</f>
        <v>35</v>
      </c>
      <c r="D155" s="212">
        <f>MAX('Cost Data'!$C$46,('Cost Data'!A155-60)/60*'Income Data'!$H$7)</f>
        <v>42.807625000000002</v>
      </c>
      <c r="E155" s="213">
        <f t="shared" si="1"/>
        <v>35</v>
      </c>
      <c r="F155" s="6"/>
    </row>
    <row r="156" spans="1:6" x14ac:dyDescent="0.3">
      <c r="A156" s="209">
        <v>90</v>
      </c>
      <c r="B156" s="210">
        <f>MAX('Cost Data'!$C$46,('Cost Data'!A156-2*38)/38*'Income Data'!$H$5)</f>
        <v>35</v>
      </c>
      <c r="C156" s="211">
        <f>MAX('Cost Data'!$C$46,('Cost Data'!A156-76)/76*'Income Data'!$H$6)</f>
        <v>35</v>
      </c>
      <c r="D156" s="212">
        <f>MAX('Cost Data'!$C$46,('Cost Data'!A156-60)/60*'Income Data'!$H$7)</f>
        <v>44.283749999999998</v>
      </c>
      <c r="E156" s="213">
        <f t="shared" si="1"/>
        <v>35</v>
      </c>
      <c r="F156" s="6"/>
    </row>
    <row r="157" spans="1:6" x14ac:dyDescent="0.3">
      <c r="A157" s="209">
        <v>91</v>
      </c>
      <c r="B157" s="210">
        <f>MAX('Cost Data'!$C$46,('Cost Data'!A157-2*38)/38*'Income Data'!$H$5)</f>
        <v>35</v>
      </c>
      <c r="C157" s="211">
        <f>MAX('Cost Data'!$C$46,('Cost Data'!A157-76)/76*'Income Data'!$H$6)</f>
        <v>35</v>
      </c>
      <c r="D157" s="212">
        <f>MAX('Cost Data'!$C$46,('Cost Data'!A157-60)/60*'Income Data'!$H$7)</f>
        <v>45.759875000000001</v>
      </c>
      <c r="E157" s="213">
        <f t="shared" si="1"/>
        <v>35</v>
      </c>
      <c r="F157" s="6"/>
    </row>
    <row r="158" spans="1:6" x14ac:dyDescent="0.3">
      <c r="A158" s="209">
        <v>92</v>
      </c>
      <c r="B158" s="210">
        <f>MAX('Cost Data'!$C$46,('Cost Data'!A158-2*38)/38*'Income Data'!$H$5)</f>
        <v>35</v>
      </c>
      <c r="C158" s="211">
        <f>MAX('Cost Data'!$C$46,('Cost Data'!A158-76)/76*'Income Data'!$H$6)</f>
        <v>35</v>
      </c>
      <c r="D158" s="212">
        <f>MAX('Cost Data'!$C$46,('Cost Data'!A158-60)/60*'Income Data'!$H$7)</f>
        <v>47.235999999999997</v>
      </c>
      <c r="E158" s="213">
        <f t="shared" si="1"/>
        <v>35</v>
      </c>
      <c r="F158" s="6"/>
    </row>
    <row r="159" spans="1:6" x14ac:dyDescent="0.3">
      <c r="A159" s="209">
        <v>93</v>
      </c>
      <c r="B159" s="210">
        <f>MAX('Cost Data'!$C$46,('Cost Data'!A159-2*38)/38*'Income Data'!$H$5)</f>
        <v>36.909572368421053</v>
      </c>
      <c r="C159" s="211">
        <f>MAX('Cost Data'!$C$46,('Cost Data'!A159-76)/76*'Income Data'!$H$6)</f>
        <v>35</v>
      </c>
      <c r="D159" s="212">
        <f>MAX('Cost Data'!$C$46,('Cost Data'!A159-60)/60*'Income Data'!$H$7)</f>
        <v>48.712125</v>
      </c>
      <c r="E159" s="213">
        <f t="shared" si="1"/>
        <v>35</v>
      </c>
      <c r="F159" s="6"/>
    </row>
    <row r="160" spans="1:6" x14ac:dyDescent="0.3">
      <c r="A160" s="209">
        <v>94</v>
      </c>
      <c r="B160" s="210">
        <f>MAX('Cost Data'!$C$46,('Cost Data'!A160-2*38)/38*'Income Data'!$H$5)</f>
        <v>39.080723684210525</v>
      </c>
      <c r="C160" s="211">
        <f>MAX('Cost Data'!$C$46,('Cost Data'!A160-76)/76*'Income Data'!$H$6)</f>
        <v>35</v>
      </c>
      <c r="D160" s="212">
        <f>MAX('Cost Data'!$C$46,('Cost Data'!A160-60)/60*'Income Data'!$H$7)</f>
        <v>50.188249999999996</v>
      </c>
      <c r="E160" s="213">
        <f t="shared" si="1"/>
        <v>35</v>
      </c>
      <c r="F160" s="6"/>
    </row>
    <row r="161" spans="1:6" x14ac:dyDescent="0.3">
      <c r="A161" s="209">
        <v>95</v>
      </c>
      <c r="B161" s="210">
        <f>MAX('Cost Data'!$C$46,('Cost Data'!A161-2*38)/38*'Income Data'!$H$5)</f>
        <v>41.251874999999998</v>
      </c>
      <c r="C161" s="211">
        <f>MAX('Cost Data'!$C$46,('Cost Data'!A161-76)/76*'Income Data'!$H$6)</f>
        <v>35</v>
      </c>
      <c r="D161" s="212">
        <f>MAX('Cost Data'!$C$46,('Cost Data'!A161-60)/60*'Income Data'!$H$7)</f>
        <v>51.664375</v>
      </c>
      <c r="E161" s="213">
        <f t="shared" si="1"/>
        <v>35</v>
      </c>
      <c r="F161" s="6"/>
    </row>
    <row r="162" spans="1:6" x14ac:dyDescent="0.3">
      <c r="A162" s="209">
        <v>96</v>
      </c>
      <c r="B162" s="210">
        <f>MAX('Cost Data'!$C$46,('Cost Data'!A162-2*38)/38*'Income Data'!$H$5)</f>
        <v>43.423026315789471</v>
      </c>
      <c r="C162" s="211">
        <f>MAX('Cost Data'!$C$46,('Cost Data'!A162-76)/76*'Income Data'!$H$6)</f>
        <v>35</v>
      </c>
      <c r="D162" s="212">
        <f>MAX('Cost Data'!$C$46,('Cost Data'!A162-60)/60*'Income Data'!$H$7)</f>
        <v>53.140499999999996</v>
      </c>
      <c r="E162" s="213">
        <f t="shared" si="1"/>
        <v>35</v>
      </c>
      <c r="F162" s="6"/>
    </row>
    <row r="163" spans="1:6" x14ac:dyDescent="0.3">
      <c r="A163" s="209">
        <v>97</v>
      </c>
      <c r="B163" s="210">
        <f>MAX('Cost Data'!$C$46,('Cost Data'!A163-2*38)/38*'Income Data'!$H$5)</f>
        <v>45.594177631578951</v>
      </c>
      <c r="C163" s="211">
        <f>MAX('Cost Data'!$C$46,('Cost Data'!A163-76)/76*'Income Data'!$H$6)</f>
        <v>35</v>
      </c>
      <c r="D163" s="212">
        <f>MAX('Cost Data'!$C$46,('Cost Data'!A163-60)/60*'Income Data'!$H$7)</f>
        <v>54.616624999999999</v>
      </c>
      <c r="E163" s="213">
        <f t="shared" si="1"/>
        <v>35</v>
      </c>
      <c r="F163" s="6"/>
    </row>
    <row r="164" spans="1:6" x14ac:dyDescent="0.3">
      <c r="A164" s="209">
        <v>98</v>
      </c>
      <c r="B164" s="210">
        <f>MAX('Cost Data'!$C$46,('Cost Data'!A164-2*38)/38*'Income Data'!$H$5)</f>
        <v>47.765328947368424</v>
      </c>
      <c r="C164" s="211">
        <f>MAX('Cost Data'!$C$46,('Cost Data'!A164-76)/76*'Income Data'!$H$6)</f>
        <v>35</v>
      </c>
      <c r="D164" s="212">
        <f>MAX('Cost Data'!$C$46,('Cost Data'!A164-60)/60*'Income Data'!$H$7)</f>
        <v>56.092749999999995</v>
      </c>
      <c r="E164" s="213">
        <f t="shared" si="1"/>
        <v>35</v>
      </c>
      <c r="F164" s="6"/>
    </row>
    <row r="165" spans="1:6" x14ac:dyDescent="0.3">
      <c r="A165" s="209">
        <v>99</v>
      </c>
      <c r="B165" s="210">
        <f>MAX('Cost Data'!$C$46,('Cost Data'!A165-2*38)/38*'Income Data'!$H$5)</f>
        <v>49.93648026315789</v>
      </c>
      <c r="C165" s="211">
        <f>MAX('Cost Data'!$C$46,('Cost Data'!A165-76)/76*'Income Data'!$H$6)</f>
        <v>35</v>
      </c>
      <c r="D165" s="212">
        <f>MAX('Cost Data'!$C$46,('Cost Data'!A165-60)/60*'Income Data'!$H$7)</f>
        <v>57.568874999999998</v>
      </c>
      <c r="E165" s="213">
        <f t="shared" si="1"/>
        <v>35</v>
      </c>
      <c r="F165" s="6"/>
    </row>
    <row r="166" spans="1:6" x14ac:dyDescent="0.3">
      <c r="A166" s="209">
        <v>100</v>
      </c>
      <c r="B166" s="210">
        <f>MAX('Cost Data'!$C$46,('Cost Data'!A166-2*38)/38*'Income Data'!$H$5)</f>
        <v>52.107631578947363</v>
      </c>
      <c r="C166" s="211">
        <f>MAX('Cost Data'!$C$46,('Cost Data'!A166-76)/76*'Income Data'!$H$6)</f>
        <v>35</v>
      </c>
      <c r="D166" s="212">
        <f>MAX('Cost Data'!$C$46,('Cost Data'!A166-60)/60*'Income Data'!$H$7)</f>
        <v>59.044999999999995</v>
      </c>
      <c r="E166" s="213">
        <f t="shared" si="1"/>
        <v>35</v>
      </c>
      <c r="F166" s="6"/>
    </row>
  </sheetData>
  <sheetProtection algorithmName="SHA-512" hashValue="9Q1ImrzvmCz0v/D94Jy2E9fcNUs3XrzwBrNPFSV7UeHGKVvP4rz41hrEASwpFpNwVqg8LYdxiGW/zvZ97PML3Q==" saltValue="VX0NCaiOMzdeG+9FgNtVjg==" spinCount="100000" sheet="1" objects="1" scenarios="1"/>
  <mergeCells count="2">
    <mergeCell ref="D57:D58"/>
    <mergeCell ref="F64:F6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3" tint="0.79998168889431442"/>
  </sheetPr>
  <dimension ref="A1:G28"/>
  <sheetViews>
    <sheetView topLeftCell="B1" zoomScale="85" zoomScaleNormal="85" workbookViewId="0">
      <selection activeCell="B1" sqref="B1"/>
    </sheetView>
  </sheetViews>
  <sheetFormatPr defaultColWidth="25" defaultRowHeight="13.5" x14ac:dyDescent="0.3"/>
  <cols>
    <col min="1" max="1" width="36" hidden="1" customWidth="1"/>
    <col min="2" max="3" width="25" customWidth="1"/>
    <col min="4" max="4" width="30.4609375" style="1" customWidth="1"/>
    <col min="5" max="5" width="25" customWidth="1"/>
    <col min="6" max="6" width="65" style="1" customWidth="1"/>
  </cols>
  <sheetData>
    <row r="1" spans="1:7" ht="19.5" x14ac:dyDescent="0.35">
      <c r="B1" s="37" t="s">
        <v>413</v>
      </c>
    </row>
    <row r="3" spans="1:7" ht="54" x14ac:dyDescent="0.3">
      <c r="B3" s="157" t="s">
        <v>78</v>
      </c>
      <c r="C3" s="157" t="s">
        <v>400</v>
      </c>
      <c r="D3" s="105" t="s">
        <v>553</v>
      </c>
      <c r="E3" s="106" t="s">
        <v>585</v>
      </c>
      <c r="F3" s="157" t="s">
        <v>401</v>
      </c>
    </row>
    <row r="4" spans="1:7" s="1" customFormat="1" x14ac:dyDescent="0.3">
      <c r="A4" s="38" t="s">
        <v>138</v>
      </c>
      <c r="B4" s="488"/>
      <c r="C4" s="107"/>
      <c r="D4" s="108" t="s">
        <v>120</v>
      </c>
      <c r="E4" s="484" t="s">
        <v>120</v>
      </c>
      <c r="F4" s="485"/>
    </row>
    <row r="5" spans="1:7" ht="15" customHeight="1" x14ac:dyDescent="0.3">
      <c r="A5" s="36" t="str">
        <f t="shared" ref="A5:A16" si="0">CONCATENATE(B5,C5)</f>
        <v>EnglandCattle and Sheep (LFA)</v>
      </c>
      <c r="B5" s="489" t="s">
        <v>71</v>
      </c>
      <c r="C5" s="68" t="s">
        <v>67</v>
      </c>
      <c r="D5" s="780">
        <v>169</v>
      </c>
      <c r="E5" s="781">
        <v>168</v>
      </c>
      <c r="F5" s="496" t="s">
        <v>589</v>
      </c>
    </row>
    <row r="6" spans="1:7" ht="18.5" customHeight="1" x14ac:dyDescent="0.3">
      <c r="A6" s="36" t="str">
        <f t="shared" si="0"/>
        <v>EnglandCattle and Sheep (Lowland)</v>
      </c>
      <c r="B6" s="490" t="s">
        <v>71</v>
      </c>
      <c r="C6" s="70" t="s">
        <v>244</v>
      </c>
      <c r="D6" s="780">
        <v>169</v>
      </c>
      <c r="E6" s="781">
        <v>168</v>
      </c>
      <c r="F6" s="496" t="s">
        <v>589</v>
      </c>
      <c r="G6" s="377"/>
    </row>
    <row r="7" spans="1:7" ht="27" x14ac:dyDescent="0.3">
      <c r="A7" s="36" t="str">
        <f>CONCATENATE(B7,C7)</f>
        <v>EnglandArable</v>
      </c>
      <c r="B7" s="491" t="s">
        <v>71</v>
      </c>
      <c r="C7" s="487" t="s">
        <v>245</v>
      </c>
      <c r="D7" s="782">
        <v>346</v>
      </c>
      <c r="E7" s="783">
        <v>182</v>
      </c>
      <c r="F7" s="486" t="s">
        <v>586</v>
      </c>
      <c r="G7" s="346"/>
    </row>
    <row r="8" spans="1:7" ht="15" customHeight="1" x14ac:dyDescent="0.3">
      <c r="A8" s="36" t="str">
        <f t="shared" si="0"/>
        <v>Northern_IrelandCattle and Sheep (LFA)</v>
      </c>
      <c r="B8" s="490" t="s">
        <v>136</v>
      </c>
      <c r="C8" s="70" t="s">
        <v>67</v>
      </c>
      <c r="D8" s="784">
        <v>213</v>
      </c>
      <c r="E8" s="785">
        <v>326</v>
      </c>
      <c r="F8" s="496" t="s">
        <v>405</v>
      </c>
      <c r="G8" s="346"/>
    </row>
    <row r="9" spans="1:7" ht="15" customHeight="1" x14ac:dyDescent="0.3">
      <c r="A9" s="36" t="str">
        <f t="shared" si="0"/>
        <v>Northern_IrelandCattle and Sheep (Lowland)</v>
      </c>
      <c r="B9" s="490" t="s">
        <v>136</v>
      </c>
      <c r="C9" s="70" t="s">
        <v>244</v>
      </c>
      <c r="D9" s="784">
        <v>327</v>
      </c>
      <c r="E9" s="785">
        <v>376</v>
      </c>
      <c r="F9" s="496" t="s">
        <v>406</v>
      </c>
      <c r="G9" s="346"/>
    </row>
    <row r="10" spans="1:7" ht="15" customHeight="1" x14ac:dyDescent="0.3">
      <c r="A10" s="36" t="str">
        <f t="shared" si="0"/>
        <v>Northern_IrelandArable</v>
      </c>
      <c r="B10" s="490" t="s">
        <v>136</v>
      </c>
      <c r="C10" s="70" t="s">
        <v>245</v>
      </c>
      <c r="D10" s="780">
        <v>590</v>
      </c>
      <c r="E10" s="786">
        <v>336</v>
      </c>
      <c r="F10" s="486" t="s">
        <v>587</v>
      </c>
    </row>
    <row r="11" spans="1:7" ht="30.5" customHeight="1" x14ac:dyDescent="0.3">
      <c r="A11" s="36" t="str">
        <f t="shared" si="0"/>
        <v>ScotlandCattle and Sheep (LFA)</v>
      </c>
      <c r="B11" s="489" t="s">
        <v>70</v>
      </c>
      <c r="C11" s="68" t="s">
        <v>67</v>
      </c>
      <c r="D11" s="787">
        <v>102</v>
      </c>
      <c r="E11" s="788">
        <v>85</v>
      </c>
      <c r="F11" s="341" t="s">
        <v>558</v>
      </c>
      <c r="G11" s="346"/>
    </row>
    <row r="12" spans="1:7" ht="15" customHeight="1" x14ac:dyDescent="0.3">
      <c r="A12" s="36" t="str">
        <f>CONCATENATE(B12,C12)</f>
        <v>ScotlandCattle and Sheep (Lowland)</v>
      </c>
      <c r="B12" s="490" t="s">
        <v>70</v>
      </c>
      <c r="C12" s="70" t="s">
        <v>244</v>
      </c>
      <c r="D12" s="780">
        <v>142</v>
      </c>
      <c r="E12" s="781">
        <v>214</v>
      </c>
      <c r="F12" s="496" t="s">
        <v>407</v>
      </c>
    </row>
    <row r="13" spans="1:7" ht="27" x14ac:dyDescent="0.3">
      <c r="A13" s="36" t="str">
        <f t="shared" si="0"/>
        <v>ScotlandArable</v>
      </c>
      <c r="B13" s="490" t="s">
        <v>70</v>
      </c>
      <c r="C13" s="70" t="s">
        <v>245</v>
      </c>
      <c r="D13" s="780">
        <v>422</v>
      </c>
      <c r="E13" s="786">
        <v>223</v>
      </c>
      <c r="F13" s="486" t="s">
        <v>588</v>
      </c>
    </row>
    <row r="14" spans="1:7" ht="15" customHeight="1" x14ac:dyDescent="0.3">
      <c r="A14" s="36" t="str">
        <f t="shared" si="0"/>
        <v>WalesCattle and sheep (LFA)</v>
      </c>
      <c r="B14" s="489" t="s">
        <v>83</v>
      </c>
      <c r="C14" s="68" t="s">
        <v>247</v>
      </c>
      <c r="D14" s="789">
        <v>187</v>
      </c>
      <c r="E14" s="788">
        <v>159</v>
      </c>
      <c r="F14" s="496" t="s">
        <v>590</v>
      </c>
      <c r="G14" s="378"/>
    </row>
    <row r="15" spans="1:7" ht="15" customHeight="1" x14ac:dyDescent="0.3">
      <c r="A15" s="36" t="str">
        <f>CONCATENATE(B15,C15)</f>
        <v>WalesCattle and Sheep (Lowland)</v>
      </c>
      <c r="B15" s="492" t="s">
        <v>83</v>
      </c>
      <c r="C15" s="70" t="s">
        <v>244</v>
      </c>
      <c r="D15" s="790">
        <v>209</v>
      </c>
      <c r="E15" s="781">
        <v>158</v>
      </c>
      <c r="F15" s="497" t="s">
        <v>404</v>
      </c>
      <c r="G15" s="378"/>
    </row>
    <row r="16" spans="1:7" ht="27" x14ac:dyDescent="0.3">
      <c r="A16" s="36" t="str">
        <f t="shared" si="0"/>
        <v>WalesArable</v>
      </c>
      <c r="B16" s="493" t="s">
        <v>83</v>
      </c>
      <c r="C16" s="487" t="s">
        <v>245</v>
      </c>
      <c r="D16" s="790">
        <v>204</v>
      </c>
      <c r="E16" s="791">
        <v>129</v>
      </c>
      <c r="F16" s="486" t="s">
        <v>591</v>
      </c>
      <c r="G16" s="378"/>
    </row>
    <row r="17" spans="2:5" x14ac:dyDescent="0.3">
      <c r="D17" s="158"/>
    </row>
    <row r="18" spans="2:5" ht="29" customHeight="1" x14ac:dyDescent="0.3">
      <c r="B18" s="494" t="s">
        <v>78</v>
      </c>
      <c r="C18" s="810" t="s">
        <v>408</v>
      </c>
      <c r="D18" s="124" t="s">
        <v>158</v>
      </c>
      <c r="E18" s="20"/>
    </row>
    <row r="19" spans="2:5" ht="94.5" x14ac:dyDescent="0.3">
      <c r="B19" s="159" t="s">
        <v>71</v>
      </c>
      <c r="C19" s="527">
        <v>10</v>
      </c>
      <c r="D19" s="123" t="s">
        <v>250</v>
      </c>
      <c r="E19" s="20"/>
    </row>
    <row r="20" spans="2:5" ht="40.5" x14ac:dyDescent="0.3">
      <c r="B20" s="351" t="s">
        <v>84</v>
      </c>
      <c r="C20" s="527">
        <v>20</v>
      </c>
      <c r="D20" s="123" t="s">
        <v>246</v>
      </c>
    </row>
    <row r="21" spans="2:5" ht="40.5" x14ac:dyDescent="0.3">
      <c r="B21" s="160" t="s">
        <v>70</v>
      </c>
      <c r="C21" s="527">
        <v>20</v>
      </c>
      <c r="D21" s="123" t="s">
        <v>249</v>
      </c>
    </row>
    <row r="22" spans="2:5" ht="40.5" x14ac:dyDescent="0.3">
      <c r="B22" s="160" t="s">
        <v>83</v>
      </c>
      <c r="C22" s="527">
        <v>12</v>
      </c>
      <c r="D22" s="123" t="s">
        <v>251</v>
      </c>
    </row>
    <row r="24" spans="2:5" x14ac:dyDescent="0.3">
      <c r="B24" s="122" t="s">
        <v>402</v>
      </c>
      <c r="C24" s="122" t="s">
        <v>403</v>
      </c>
      <c r="D24" s="122" t="s">
        <v>213</v>
      </c>
    </row>
    <row r="25" spans="2:5" ht="27" x14ac:dyDescent="0.3">
      <c r="B25" s="495" t="s">
        <v>71</v>
      </c>
      <c r="C25" s="344" t="s">
        <v>235</v>
      </c>
      <c r="D25" s="344" t="s">
        <v>235</v>
      </c>
    </row>
    <row r="26" spans="2:5" ht="54" x14ac:dyDescent="0.3">
      <c r="B26" s="495" t="s">
        <v>84</v>
      </c>
      <c r="C26" s="839" t="s">
        <v>584</v>
      </c>
      <c r="D26" s="123" t="s">
        <v>584</v>
      </c>
    </row>
    <row r="27" spans="2:5" ht="40.5" x14ac:dyDescent="0.3">
      <c r="B27" s="495" t="s">
        <v>70</v>
      </c>
      <c r="C27" s="344" t="s">
        <v>583</v>
      </c>
      <c r="D27" s="349" t="s">
        <v>583</v>
      </c>
    </row>
    <row r="28" spans="2:5" ht="27" x14ac:dyDescent="0.3">
      <c r="B28" s="495" t="s">
        <v>83</v>
      </c>
      <c r="C28" s="344" t="s">
        <v>235</v>
      </c>
      <c r="D28" s="344" t="s">
        <v>235</v>
      </c>
    </row>
  </sheetData>
  <sheetProtection algorithmName="SHA-512" hashValue="dAEwmU01rsT6Zn1R2YBqF8VcZtXgKyTDKNojHhkehpKOeFsj98pV85CxW1gxD/pdZcdrO5JT/a7Ly3BPViNqdw==" saltValue="p8pHCAZrmvJVCXcbHjTDfw==" spinCount="100000" sheet="1" objects="1" scenarios="1"/>
  <hyperlinks>
    <hyperlink ref="C25" r:id="rId1" display="http://www.farmbusinesssurvey.co.uk/DataBuilder/" xr:uid="{00000000-0004-0000-0600-000000000000}"/>
    <hyperlink ref="C28" r:id="rId2" display="http://www.farmbusinesssurvey.co.uk/DataBuilder/" xr:uid="{00000000-0004-0000-0600-000001000000}"/>
    <hyperlink ref="D28" r:id="rId3" display="http://www.farmbusinesssurvey.co.uk/DataBuilder/" xr:uid="{00000000-0004-0000-0600-000002000000}"/>
    <hyperlink ref="D25" r:id="rId4" display="http://www.farmbusinesssurvey.co.uk/DataBuilder/" xr:uid="{00000000-0004-0000-0600-000005000000}"/>
    <hyperlink ref="D20" r:id="rId5" display="https://www.daera-ni.gov.uk/sites/default/files/publications/daera/Forest Expansion Scheme Questions and Answers 2020-2021.pdf" xr:uid="{00000000-0004-0000-0600-000007000000}"/>
    <hyperlink ref="D21" r:id="rId6" xr:uid="{00000000-0004-0000-0600-000008000000}"/>
    <hyperlink ref="D19" r:id="rId7" xr:uid="{00000000-0004-0000-0600-000009000000}"/>
    <hyperlink ref="D22" r:id="rId8" location="166403" xr:uid="{00000000-0004-0000-0600-00000A000000}"/>
    <hyperlink ref="C27" r:id="rId9" xr:uid="{0D2B6E61-1E53-41F4-A56F-B643A002F723}"/>
    <hyperlink ref="D27" r:id="rId10" xr:uid="{BECE694E-8E3E-4383-A4BF-ED03F46ACC94}"/>
    <hyperlink ref="C26" r:id="rId11" display="https://www.daera-ni.gov.uk/publications/farm-incomes-northern-ireland-2004-onwards" xr:uid="{FC188410-6EDF-492C-9E0E-756615131372}"/>
    <hyperlink ref="D26" r:id="rId12" display="https://www.daera-ni.gov.uk/publications/farm-incomes-northern-ireland-2004-onwards" xr:uid="{93D39702-05E6-40A6-9DB8-5244D415DA52}"/>
  </hyperlinks>
  <pageMargins left="0.7" right="0.7" top="0.75" bottom="0.75" header="0.3" footer="0.3"/>
  <pageSetup paperSize="9" orientation="portrait" horizontalDpi="90" verticalDpi="90" r:id="rId1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CS160"/>
  <sheetViews>
    <sheetView zoomScale="85" zoomScaleNormal="85" workbookViewId="0">
      <selection activeCell="K4" sqref="K4"/>
    </sheetView>
  </sheetViews>
  <sheetFormatPr defaultRowHeight="13.5" x14ac:dyDescent="0.3"/>
  <cols>
    <col min="1" max="1" width="20.4609375" bestFit="1" customWidth="1"/>
    <col min="2" max="2" width="24.15234375" customWidth="1"/>
    <col min="3" max="3" width="22.84375" bestFit="1" customWidth="1"/>
    <col min="4" max="4" width="38.23046875" customWidth="1"/>
    <col min="5" max="5" width="17.765625" customWidth="1"/>
    <col min="6" max="6" width="4.61328125" customWidth="1"/>
    <col min="7" max="7" width="33.61328125" customWidth="1"/>
    <col min="8" max="8" width="4.3828125" customWidth="1"/>
    <col min="10" max="10" width="56.15234375" customWidth="1"/>
    <col min="11" max="11" width="18.4609375" customWidth="1"/>
    <col min="12" max="12" width="9" customWidth="1"/>
    <col min="13" max="13" width="18.765625" customWidth="1"/>
    <col min="14" max="14" width="17" customWidth="1"/>
    <col min="15" max="15" width="27.3828125" customWidth="1"/>
    <col min="16" max="16" width="20.15234375" customWidth="1"/>
    <col min="17" max="18" width="29.3828125" customWidth="1"/>
    <col min="19" max="19" width="15.4609375" customWidth="1"/>
    <col min="20" max="20" width="9" customWidth="1"/>
    <col min="21" max="21" width="13.23046875" customWidth="1"/>
    <col min="22" max="22" width="16" customWidth="1"/>
    <col min="23" max="23" width="17" customWidth="1"/>
  </cols>
  <sheetData>
    <row r="1" spans="1:23" ht="26.25" customHeight="1" x14ac:dyDescent="0.35">
      <c r="A1" s="82" t="s">
        <v>133</v>
      </c>
      <c r="B1" s="83"/>
      <c r="C1" s="82"/>
      <c r="D1" s="82"/>
      <c r="E1" s="82"/>
      <c r="G1" s="58" t="s">
        <v>204</v>
      </c>
      <c r="I1" s="66" t="s">
        <v>199</v>
      </c>
      <c r="J1" s="95"/>
      <c r="K1" s="60"/>
      <c r="M1" s="355">
        <v>45097</v>
      </c>
      <c r="N1" s="67"/>
      <c r="O1" s="67"/>
      <c r="P1" s="67"/>
      <c r="Q1" s="142"/>
      <c r="R1" s="67"/>
      <c r="S1" s="68"/>
      <c r="U1" s="897" t="s">
        <v>264</v>
      </c>
      <c r="V1" s="898"/>
      <c r="W1" s="899"/>
    </row>
    <row r="2" spans="1:23" x14ac:dyDescent="0.3">
      <c r="A2" s="93" t="s">
        <v>139</v>
      </c>
      <c r="B2" s="94" t="s">
        <v>71</v>
      </c>
      <c r="C2" s="94" t="s">
        <v>70</v>
      </c>
      <c r="D2" s="94" t="s">
        <v>83</v>
      </c>
      <c r="E2" s="94" t="s">
        <v>136</v>
      </c>
      <c r="G2" s="99" t="s">
        <v>143</v>
      </c>
      <c r="I2" s="96" t="s">
        <v>200</v>
      </c>
      <c r="J2" s="97"/>
      <c r="K2" s="98"/>
      <c r="M2" s="126" t="s">
        <v>188</v>
      </c>
      <c r="N2" s="69"/>
      <c r="O2" s="75" t="s">
        <v>178</v>
      </c>
      <c r="P2" s="69"/>
      <c r="Q2" s="143" t="s">
        <v>183</v>
      </c>
      <c r="R2" s="22"/>
      <c r="S2" s="70"/>
      <c r="U2" s="127"/>
      <c r="V2" s="64" t="s">
        <v>179</v>
      </c>
      <c r="W2" s="65"/>
    </row>
    <row r="3" spans="1:23" ht="27" x14ac:dyDescent="0.3">
      <c r="A3" s="84" t="s">
        <v>135</v>
      </c>
      <c r="B3" s="85" t="s">
        <v>134</v>
      </c>
      <c r="C3" s="85" t="s">
        <v>134</v>
      </c>
      <c r="D3" s="85" t="s">
        <v>134</v>
      </c>
      <c r="E3" s="85" t="s">
        <v>134</v>
      </c>
      <c r="G3" s="99" t="s">
        <v>144</v>
      </c>
      <c r="I3" s="41" t="s">
        <v>20</v>
      </c>
      <c r="J3" s="61" t="str">
        <f>IFERROR(IF(OR('Data Entry'!B7="Scotland", 'Data Entry'!B7="Wales", 'Data Entry'!B7="Northern_Ireland",AND('Data Entry'!B8="NO",'Data Entry'!B7="England")),"Version 1",IF(AND('Data Entry'!B7="England",'Data Entry'!B8="Yes",'Data Entry'!B9="10-Yearly"),"Version 2",IF(AND('Data Entry'!B7="England",'Data Entry'!B8="Yes",'Data Entry'!B9="5-Yearly"),"Version 3",0))),"ERROR")</f>
        <v>Version 1</v>
      </c>
      <c r="K3" s="40" t="str">
        <f>IF(J3="Version 1","VERSION_1",IF(J3="Version 2","VERSION_2",IF(J3="Version 3","VERSION_3","Error")))</f>
        <v>VERSION_1</v>
      </c>
      <c r="M3" s="131"/>
      <c r="N3" s="132" t="s">
        <v>187</v>
      </c>
      <c r="O3" s="140" t="s">
        <v>237</v>
      </c>
      <c r="P3" s="133" t="s">
        <v>186</v>
      </c>
      <c r="Q3" s="144" t="s">
        <v>238</v>
      </c>
      <c r="R3" s="141" t="s">
        <v>239</v>
      </c>
      <c r="S3" s="149" t="s">
        <v>186</v>
      </c>
      <c r="U3" s="127" t="s">
        <v>193</v>
      </c>
      <c r="V3" s="71">
        <f>AVERAGE(O4,O11)</f>
        <v>1482</v>
      </c>
      <c r="W3" s="72">
        <f>AVERAGE(Q4,Q11)</f>
        <v>2232</v>
      </c>
    </row>
    <row r="4" spans="1:23" ht="22.5" customHeight="1" x14ac:dyDescent="0.3">
      <c r="A4" s="54"/>
      <c r="B4" s="55" t="s">
        <v>72</v>
      </c>
      <c r="C4" s="55" t="s">
        <v>67</v>
      </c>
      <c r="D4" s="156" t="s">
        <v>115</v>
      </c>
      <c r="E4" s="55" t="s">
        <v>63</v>
      </c>
      <c r="G4" s="100" t="s">
        <v>145</v>
      </c>
      <c r="I4" s="62"/>
      <c r="J4" s="56"/>
      <c r="K4" s="63" t="str">
        <f>CONCATENATE(K3,"_COSTS")</f>
        <v>VERSION_1_COSTS</v>
      </c>
      <c r="M4" s="134">
        <v>1</v>
      </c>
      <c r="N4" s="135">
        <v>1</v>
      </c>
      <c r="O4" s="77">
        <v>1800</v>
      </c>
      <c r="P4" s="78">
        <f>O4</f>
        <v>1800</v>
      </c>
      <c r="Q4" s="145">
        <v>2800</v>
      </c>
      <c r="R4" s="77">
        <v>105.40517750231891</v>
      </c>
      <c r="S4" s="150">
        <f>SUM(Q4:R4)</f>
        <v>2905.405177502319</v>
      </c>
      <c r="U4" s="128" t="s">
        <v>194</v>
      </c>
      <c r="V4" s="73">
        <f>AVERAGE(P6,P13)</f>
        <v>624.03571428571422</v>
      </c>
      <c r="W4" s="74">
        <f>AVERAGE(S6,S13)</f>
        <v>595.12638683097839</v>
      </c>
    </row>
    <row r="5" spans="1:23" x14ac:dyDescent="0.3">
      <c r="A5" s="54"/>
      <c r="B5" s="55" t="s">
        <v>64</v>
      </c>
      <c r="C5" s="55" t="s">
        <v>72</v>
      </c>
      <c r="D5" s="156" t="s">
        <v>232</v>
      </c>
      <c r="E5" s="55" t="s">
        <v>85</v>
      </c>
      <c r="G5" s="100" t="s">
        <v>146</v>
      </c>
      <c r="M5" s="134" t="s">
        <v>180</v>
      </c>
      <c r="N5" s="135">
        <v>3</v>
      </c>
      <c r="O5" s="78">
        <v>3600</v>
      </c>
      <c r="P5" s="78">
        <f>O5/N5</f>
        <v>1200</v>
      </c>
      <c r="Q5" s="130">
        <v>4000</v>
      </c>
      <c r="R5" s="78">
        <v>105.40517750231891</v>
      </c>
      <c r="S5" s="151">
        <f>SUM(Q5:R5)/N5</f>
        <v>1368.468392500773</v>
      </c>
    </row>
    <row r="6" spans="1:23" x14ac:dyDescent="0.3">
      <c r="A6" s="54"/>
      <c r="B6" s="55" t="s">
        <v>65</v>
      </c>
      <c r="C6" s="55" t="s">
        <v>64</v>
      </c>
      <c r="D6" s="156" t="s">
        <v>233</v>
      </c>
      <c r="E6" s="55" t="s">
        <v>86</v>
      </c>
      <c r="G6" s="101" t="s">
        <v>147</v>
      </c>
      <c r="M6" s="134" t="s">
        <v>182</v>
      </c>
      <c r="N6" s="135">
        <v>7</v>
      </c>
      <c r="O6" s="78">
        <v>5800</v>
      </c>
      <c r="P6" s="77">
        <f>O6/N6</f>
        <v>828.57142857142856</v>
      </c>
      <c r="Q6" s="130">
        <v>5000</v>
      </c>
      <c r="R6" s="78">
        <v>210.81035500463781</v>
      </c>
      <c r="S6" s="152">
        <f>SUM(Q6:R6)/N6</f>
        <v>744.40147928637691</v>
      </c>
    </row>
    <row r="7" spans="1:23" x14ac:dyDescent="0.3">
      <c r="A7" s="54"/>
      <c r="B7" s="55" t="s">
        <v>74</v>
      </c>
      <c r="C7" s="55" t="s">
        <v>112</v>
      </c>
      <c r="D7" s="156" t="s">
        <v>113</v>
      </c>
      <c r="E7" s="55" t="s">
        <v>87</v>
      </c>
      <c r="M7" s="134" t="s">
        <v>181</v>
      </c>
      <c r="N7" s="135">
        <v>12.5</v>
      </c>
      <c r="O7" s="78">
        <v>8000</v>
      </c>
      <c r="P7" s="78">
        <f>O7/N7</f>
        <v>640</v>
      </c>
      <c r="Q7" s="130">
        <v>7000</v>
      </c>
      <c r="R7" s="78">
        <v>316.21553250695672</v>
      </c>
      <c r="S7" s="151">
        <f>SUM(Q7:R7)/N7</f>
        <v>585.29724260055661</v>
      </c>
    </row>
    <row r="8" spans="1:23" x14ac:dyDescent="0.3">
      <c r="A8" s="54"/>
      <c r="B8" s="55" t="s">
        <v>73</v>
      </c>
      <c r="C8" s="55" t="s">
        <v>65</v>
      </c>
      <c r="D8" s="156" t="s">
        <v>242</v>
      </c>
      <c r="E8" s="55" t="s">
        <v>118</v>
      </c>
      <c r="M8" s="136"/>
      <c r="N8" s="135"/>
      <c r="O8" s="79"/>
      <c r="P8" s="78"/>
      <c r="Q8" s="130"/>
      <c r="R8" s="78"/>
      <c r="S8" s="150"/>
    </row>
    <row r="9" spans="1:23" x14ac:dyDescent="0.3">
      <c r="A9" s="54"/>
      <c r="B9" s="55" t="s">
        <v>77</v>
      </c>
      <c r="C9" s="55" t="s">
        <v>113</v>
      </c>
      <c r="D9" s="156" t="s">
        <v>234</v>
      </c>
      <c r="E9" s="55"/>
      <c r="M9" s="137" t="s">
        <v>189</v>
      </c>
      <c r="N9" s="129"/>
      <c r="O9" s="80" t="s">
        <v>178</v>
      </c>
      <c r="P9" s="138"/>
      <c r="Q9" s="146" t="s">
        <v>183</v>
      </c>
      <c r="R9" s="80"/>
      <c r="S9" s="153"/>
    </row>
    <row r="10" spans="1:23" x14ac:dyDescent="0.3">
      <c r="A10" s="54"/>
      <c r="B10" s="55" t="s">
        <v>75</v>
      </c>
      <c r="C10" s="55" t="s">
        <v>114</v>
      </c>
      <c r="D10" s="156" t="s">
        <v>63</v>
      </c>
      <c r="E10" s="55"/>
      <c r="M10" s="131"/>
      <c r="N10" s="132" t="s">
        <v>187</v>
      </c>
      <c r="O10" s="76" t="s">
        <v>184</v>
      </c>
      <c r="P10" s="133" t="s">
        <v>186</v>
      </c>
      <c r="Q10" s="147" t="s">
        <v>185</v>
      </c>
      <c r="R10" s="133"/>
      <c r="S10" s="149" t="s">
        <v>186</v>
      </c>
    </row>
    <row r="11" spans="1:23" x14ac:dyDescent="0.3">
      <c r="A11" s="54"/>
      <c r="B11" s="55" t="s">
        <v>76</v>
      </c>
      <c r="C11" s="55" t="s">
        <v>69</v>
      </c>
      <c r="D11" s="156" t="s">
        <v>64</v>
      </c>
      <c r="E11" s="55"/>
      <c r="M11" s="134">
        <v>1</v>
      </c>
      <c r="N11" s="135">
        <v>1</v>
      </c>
      <c r="O11" s="77">
        <v>1164</v>
      </c>
      <c r="P11" s="78">
        <f>O11</f>
        <v>1164</v>
      </c>
      <c r="Q11" s="145">
        <v>1664</v>
      </c>
      <c r="R11" s="77">
        <v>105.40517750231891</v>
      </c>
      <c r="S11" s="150">
        <f>SUM(Q11:R11)</f>
        <v>1769.405177502319</v>
      </c>
    </row>
    <row r="12" spans="1:23" x14ac:dyDescent="0.3">
      <c r="A12" s="54"/>
      <c r="B12" s="55" t="s">
        <v>118</v>
      </c>
      <c r="C12" s="55" t="s">
        <v>66</v>
      </c>
      <c r="D12" s="156" t="s">
        <v>119</v>
      </c>
      <c r="E12" s="55"/>
      <c r="M12" s="134" t="s">
        <v>190</v>
      </c>
      <c r="N12" s="135">
        <v>3.5</v>
      </c>
      <c r="O12" s="78">
        <v>2370</v>
      </c>
      <c r="P12" s="78">
        <f>O12/N12</f>
        <v>677.14285714285711</v>
      </c>
      <c r="Q12" s="130">
        <v>2370</v>
      </c>
      <c r="R12" s="78">
        <v>105.40517750231891</v>
      </c>
      <c r="S12" s="151">
        <f>SUM(Q12:R12)/N12</f>
        <v>707.25862214351969</v>
      </c>
    </row>
    <row r="13" spans="1:23" x14ac:dyDescent="0.3">
      <c r="A13" s="55"/>
      <c r="B13" s="55"/>
      <c r="C13" s="55" t="s">
        <v>68</v>
      </c>
      <c r="D13" s="156" t="s">
        <v>118</v>
      </c>
      <c r="E13" s="55"/>
      <c r="M13" s="134" t="s">
        <v>191</v>
      </c>
      <c r="N13" s="135">
        <v>8</v>
      </c>
      <c r="O13" s="78">
        <v>3356</v>
      </c>
      <c r="P13" s="77">
        <f>O13/N13</f>
        <v>419.5</v>
      </c>
      <c r="Q13" s="130">
        <v>3356</v>
      </c>
      <c r="R13" s="78">
        <v>210.81035500463781</v>
      </c>
      <c r="S13" s="152">
        <f>SUM(Q13:R13)/N13</f>
        <v>445.85129437557976</v>
      </c>
    </row>
    <row r="14" spans="1:23" x14ac:dyDescent="0.3">
      <c r="A14" s="56"/>
      <c r="B14" s="56"/>
      <c r="C14" s="56" t="s">
        <v>118</v>
      </c>
      <c r="D14" s="56"/>
      <c r="E14" s="56"/>
      <c r="M14" s="139" t="s">
        <v>192</v>
      </c>
      <c r="N14" s="119">
        <v>13</v>
      </c>
      <c r="O14" s="81">
        <v>3786</v>
      </c>
      <c r="P14" s="81">
        <f>O14/N14</f>
        <v>291.23076923076923</v>
      </c>
      <c r="Q14" s="148">
        <v>3786</v>
      </c>
      <c r="R14" s="81">
        <v>316.21553250695672</v>
      </c>
      <c r="S14" s="154">
        <f>SUM(Q14:R14)/N14</f>
        <v>315.55504096207363</v>
      </c>
    </row>
    <row r="15" spans="1:23" x14ac:dyDescent="0.3">
      <c r="M15" s="125"/>
      <c r="N15" s="20"/>
      <c r="O15" s="20"/>
      <c r="P15" s="20"/>
      <c r="Q15" s="20"/>
      <c r="R15" s="20"/>
      <c r="S15" s="20"/>
    </row>
    <row r="16" spans="1:23" x14ac:dyDescent="0.3">
      <c r="M16" s="356" t="s">
        <v>298</v>
      </c>
      <c r="N16" s="354"/>
      <c r="O16" s="354"/>
      <c r="P16" s="20"/>
      <c r="Q16" s="20"/>
      <c r="R16" s="20"/>
      <c r="S16" s="20"/>
    </row>
    <row r="17" spans="13:19" x14ac:dyDescent="0.3">
      <c r="M17" s="356" t="s">
        <v>299</v>
      </c>
      <c r="N17" s="354"/>
      <c r="O17" s="354"/>
      <c r="P17" s="20"/>
      <c r="Q17" s="20"/>
      <c r="R17" s="20"/>
      <c r="S17" s="20"/>
    </row>
    <row r="18" spans="13:19" x14ac:dyDescent="0.3">
      <c r="P18" s="20"/>
      <c r="Q18" s="20"/>
      <c r="R18" s="20"/>
      <c r="S18" s="20"/>
    </row>
    <row r="19" spans="13:19" x14ac:dyDescent="0.3">
      <c r="P19" s="20"/>
      <c r="Q19" s="20"/>
      <c r="R19" s="20"/>
      <c r="S19" s="20"/>
    </row>
    <row r="59" spans="1:97" x14ac:dyDescent="0.3">
      <c r="J59" s="20"/>
      <c r="K59" s="20"/>
      <c r="U59" s="20"/>
    </row>
    <row r="60" spans="1:97" x14ac:dyDescent="0.3">
      <c r="A60" s="102" t="s">
        <v>1</v>
      </c>
      <c r="B60" s="103">
        <v>0.03</v>
      </c>
      <c r="C60" s="103">
        <v>0.04</v>
      </c>
      <c r="D60" s="339" t="s">
        <v>205</v>
      </c>
      <c r="E60" s="20"/>
      <c r="F60" s="20"/>
      <c r="G60" s="20"/>
      <c r="L60" s="20"/>
      <c r="O60" s="20"/>
      <c r="P60" s="20"/>
      <c r="Q60" s="20"/>
      <c r="R60" s="20"/>
      <c r="T60" s="20"/>
      <c r="X60" s="20"/>
      <c r="Y60" s="20"/>
      <c r="Z60" s="20"/>
      <c r="AC60" s="20"/>
      <c r="AD60" s="20"/>
      <c r="AE60" s="20"/>
      <c r="AH60" s="20"/>
      <c r="AI60" s="20"/>
      <c r="AJ60" s="20"/>
      <c r="AM60" s="20"/>
      <c r="AN60" s="20"/>
      <c r="AO60" s="20"/>
      <c r="AR60" s="20"/>
      <c r="AS60" s="20"/>
      <c r="AT60" s="20"/>
      <c r="AW60" s="20"/>
      <c r="AX60" s="20"/>
      <c r="AY60" s="20"/>
      <c r="BB60" s="20"/>
      <c r="BC60" s="20"/>
      <c r="BD60" s="20"/>
      <c r="BG60" s="20"/>
      <c r="BH60" s="20"/>
      <c r="BI60" s="20"/>
      <c r="BL60" s="20"/>
      <c r="BM60" s="20"/>
      <c r="BN60" s="20"/>
      <c r="BQ60" s="20"/>
      <c r="BR60" s="20"/>
      <c r="BS60" s="20"/>
      <c r="BX60" s="20"/>
      <c r="BY60" s="20"/>
      <c r="BZ60" s="20"/>
      <c r="CC60" s="20"/>
      <c r="CD60" s="20"/>
      <c r="CE60" s="20"/>
      <c r="CH60" s="20"/>
      <c r="CI60" s="20"/>
      <c r="CJ60" s="20"/>
      <c r="CM60" s="20"/>
      <c r="CN60" s="20"/>
      <c r="CO60" s="20"/>
      <c r="CR60" s="20"/>
      <c r="CS60" s="20"/>
    </row>
    <row r="61" spans="1:97" x14ac:dyDescent="0.3">
      <c r="A61">
        <v>0</v>
      </c>
      <c r="B61" s="21">
        <f>B60</f>
        <v>0.03</v>
      </c>
      <c r="C61" s="21">
        <f>C60</f>
        <v>0.04</v>
      </c>
      <c r="D61" s="340">
        <v>3.5000000000000003E-2</v>
      </c>
    </row>
    <row r="62" spans="1:97" x14ac:dyDescent="0.3">
      <c r="A62">
        <v>1</v>
      </c>
      <c r="B62" s="21">
        <f t="shared" ref="B62:B125" si="0">B61</f>
        <v>0.03</v>
      </c>
      <c r="C62" s="21">
        <f t="shared" ref="C62:C125" si="1">C61</f>
        <v>0.04</v>
      </c>
      <c r="D62" s="340">
        <v>3.5000000000000003E-2</v>
      </c>
    </row>
    <row r="63" spans="1:97" x14ac:dyDescent="0.3">
      <c r="A63" s="20">
        <v>2</v>
      </c>
      <c r="B63" s="21">
        <f t="shared" si="0"/>
        <v>0.03</v>
      </c>
      <c r="C63" s="21">
        <f t="shared" si="1"/>
        <v>0.04</v>
      </c>
      <c r="D63" s="340">
        <v>3.5000000000000003E-2</v>
      </c>
    </row>
    <row r="64" spans="1:97" x14ac:dyDescent="0.3">
      <c r="A64" s="20">
        <v>3</v>
      </c>
      <c r="B64" s="21">
        <f t="shared" si="0"/>
        <v>0.03</v>
      </c>
      <c r="C64" s="21">
        <f t="shared" si="1"/>
        <v>0.04</v>
      </c>
      <c r="D64" s="340">
        <v>3.5000000000000003E-2</v>
      </c>
    </row>
    <row r="65" spans="1:4" x14ac:dyDescent="0.3">
      <c r="A65">
        <v>4</v>
      </c>
      <c r="B65" s="21">
        <f t="shared" si="0"/>
        <v>0.03</v>
      </c>
      <c r="C65" s="21">
        <f t="shared" si="1"/>
        <v>0.04</v>
      </c>
      <c r="D65" s="340">
        <v>3.5000000000000003E-2</v>
      </c>
    </row>
    <row r="66" spans="1:4" x14ac:dyDescent="0.3">
      <c r="A66">
        <v>5</v>
      </c>
      <c r="B66" s="21">
        <f t="shared" si="0"/>
        <v>0.03</v>
      </c>
      <c r="C66" s="21">
        <f t="shared" si="1"/>
        <v>0.04</v>
      </c>
      <c r="D66" s="340">
        <v>3.5000000000000003E-2</v>
      </c>
    </row>
    <row r="67" spans="1:4" x14ac:dyDescent="0.3">
      <c r="A67" s="20">
        <v>6</v>
      </c>
      <c r="B67" s="21">
        <f t="shared" si="0"/>
        <v>0.03</v>
      </c>
      <c r="C67" s="21">
        <f t="shared" si="1"/>
        <v>0.04</v>
      </c>
      <c r="D67" s="340">
        <v>3.5000000000000003E-2</v>
      </c>
    </row>
    <row r="68" spans="1:4" x14ac:dyDescent="0.3">
      <c r="A68" s="20">
        <v>7</v>
      </c>
      <c r="B68" s="21">
        <f t="shared" si="0"/>
        <v>0.03</v>
      </c>
      <c r="C68" s="21">
        <f t="shared" si="1"/>
        <v>0.04</v>
      </c>
      <c r="D68" s="340">
        <v>3.5000000000000003E-2</v>
      </c>
    </row>
    <row r="69" spans="1:4" x14ac:dyDescent="0.3">
      <c r="A69">
        <v>8</v>
      </c>
      <c r="B69" s="21">
        <f t="shared" si="0"/>
        <v>0.03</v>
      </c>
      <c r="C69" s="21">
        <f t="shared" si="1"/>
        <v>0.04</v>
      </c>
      <c r="D69" s="340">
        <v>3.5000000000000003E-2</v>
      </c>
    </row>
    <row r="70" spans="1:4" x14ac:dyDescent="0.3">
      <c r="A70">
        <v>9</v>
      </c>
      <c r="B70" s="21">
        <f t="shared" si="0"/>
        <v>0.03</v>
      </c>
      <c r="C70" s="21">
        <f t="shared" si="1"/>
        <v>0.04</v>
      </c>
      <c r="D70" s="340">
        <v>3.5000000000000003E-2</v>
      </c>
    </row>
    <row r="71" spans="1:4" x14ac:dyDescent="0.3">
      <c r="A71" s="20">
        <v>10</v>
      </c>
      <c r="B71" s="21">
        <f t="shared" si="0"/>
        <v>0.03</v>
      </c>
      <c r="C71" s="21">
        <f t="shared" si="1"/>
        <v>0.04</v>
      </c>
      <c r="D71" s="340">
        <v>3.5000000000000003E-2</v>
      </c>
    </row>
    <row r="72" spans="1:4" x14ac:dyDescent="0.3">
      <c r="A72" s="20">
        <v>11</v>
      </c>
      <c r="B72" s="21">
        <f t="shared" si="0"/>
        <v>0.03</v>
      </c>
      <c r="C72" s="21">
        <f t="shared" si="1"/>
        <v>0.04</v>
      </c>
      <c r="D72" s="340">
        <v>3.5000000000000003E-2</v>
      </c>
    </row>
    <row r="73" spans="1:4" x14ac:dyDescent="0.3">
      <c r="A73">
        <v>12</v>
      </c>
      <c r="B73" s="21">
        <f t="shared" si="0"/>
        <v>0.03</v>
      </c>
      <c r="C73" s="21">
        <f t="shared" si="1"/>
        <v>0.04</v>
      </c>
      <c r="D73" s="340">
        <v>3.5000000000000003E-2</v>
      </c>
    </row>
    <row r="74" spans="1:4" x14ac:dyDescent="0.3">
      <c r="A74">
        <v>13</v>
      </c>
      <c r="B74" s="21">
        <f t="shared" si="0"/>
        <v>0.03</v>
      </c>
      <c r="C74" s="21">
        <f t="shared" si="1"/>
        <v>0.04</v>
      </c>
      <c r="D74" s="340">
        <v>3.5000000000000003E-2</v>
      </c>
    </row>
    <row r="75" spans="1:4" x14ac:dyDescent="0.3">
      <c r="A75" s="20">
        <v>14</v>
      </c>
      <c r="B75" s="21">
        <f t="shared" si="0"/>
        <v>0.03</v>
      </c>
      <c r="C75" s="21">
        <f t="shared" si="1"/>
        <v>0.04</v>
      </c>
      <c r="D75" s="340">
        <v>3.5000000000000003E-2</v>
      </c>
    </row>
    <row r="76" spans="1:4" x14ac:dyDescent="0.3">
      <c r="A76" s="20">
        <v>15</v>
      </c>
      <c r="B76" s="21">
        <f t="shared" si="0"/>
        <v>0.03</v>
      </c>
      <c r="C76" s="21">
        <f t="shared" si="1"/>
        <v>0.04</v>
      </c>
      <c r="D76" s="340">
        <v>3.5000000000000003E-2</v>
      </c>
    </row>
    <row r="77" spans="1:4" x14ac:dyDescent="0.3">
      <c r="A77">
        <v>16</v>
      </c>
      <c r="B77" s="21">
        <f t="shared" si="0"/>
        <v>0.03</v>
      </c>
      <c r="C77" s="21">
        <f t="shared" si="1"/>
        <v>0.04</v>
      </c>
      <c r="D77" s="340">
        <v>3.5000000000000003E-2</v>
      </c>
    </row>
    <row r="78" spans="1:4" x14ac:dyDescent="0.3">
      <c r="A78">
        <v>17</v>
      </c>
      <c r="B78" s="21">
        <f t="shared" si="0"/>
        <v>0.03</v>
      </c>
      <c r="C78" s="21">
        <f t="shared" si="1"/>
        <v>0.04</v>
      </c>
      <c r="D78" s="340">
        <v>3.5000000000000003E-2</v>
      </c>
    </row>
    <row r="79" spans="1:4" x14ac:dyDescent="0.3">
      <c r="A79" s="20">
        <v>18</v>
      </c>
      <c r="B79" s="21">
        <f t="shared" si="0"/>
        <v>0.03</v>
      </c>
      <c r="C79" s="21">
        <f t="shared" si="1"/>
        <v>0.04</v>
      </c>
      <c r="D79" s="340">
        <v>3.5000000000000003E-2</v>
      </c>
    </row>
    <row r="80" spans="1:4" x14ac:dyDescent="0.3">
      <c r="A80" s="20">
        <v>19</v>
      </c>
      <c r="B80" s="21">
        <f t="shared" si="0"/>
        <v>0.03</v>
      </c>
      <c r="C80" s="21">
        <f t="shared" si="1"/>
        <v>0.04</v>
      </c>
      <c r="D80" s="340">
        <v>3.5000000000000003E-2</v>
      </c>
    </row>
    <row r="81" spans="1:4" x14ac:dyDescent="0.3">
      <c r="A81">
        <v>20</v>
      </c>
      <c r="B81" s="21">
        <f t="shared" si="0"/>
        <v>0.03</v>
      </c>
      <c r="C81" s="21">
        <f t="shared" si="1"/>
        <v>0.04</v>
      </c>
      <c r="D81" s="340">
        <v>3.5000000000000003E-2</v>
      </c>
    </row>
    <row r="82" spans="1:4" x14ac:dyDescent="0.3">
      <c r="A82">
        <v>21</v>
      </c>
      <c r="B82" s="21">
        <f t="shared" si="0"/>
        <v>0.03</v>
      </c>
      <c r="C82" s="21">
        <f t="shared" si="1"/>
        <v>0.04</v>
      </c>
      <c r="D82" s="340">
        <v>3.5000000000000003E-2</v>
      </c>
    </row>
    <row r="83" spans="1:4" x14ac:dyDescent="0.3">
      <c r="A83" s="20">
        <v>22</v>
      </c>
      <c r="B83" s="21">
        <f t="shared" si="0"/>
        <v>0.03</v>
      </c>
      <c r="C83" s="21">
        <f t="shared" si="1"/>
        <v>0.04</v>
      </c>
      <c r="D83" s="340">
        <v>3.5000000000000003E-2</v>
      </c>
    </row>
    <row r="84" spans="1:4" x14ac:dyDescent="0.3">
      <c r="A84" s="20">
        <v>23</v>
      </c>
      <c r="B84" s="21">
        <f t="shared" si="0"/>
        <v>0.03</v>
      </c>
      <c r="C84" s="21">
        <f t="shared" si="1"/>
        <v>0.04</v>
      </c>
      <c r="D84" s="340">
        <v>3.5000000000000003E-2</v>
      </c>
    </row>
    <row r="85" spans="1:4" x14ac:dyDescent="0.3">
      <c r="A85">
        <v>24</v>
      </c>
      <c r="B85" s="21">
        <f t="shared" si="0"/>
        <v>0.03</v>
      </c>
      <c r="C85" s="21">
        <f t="shared" si="1"/>
        <v>0.04</v>
      </c>
      <c r="D85" s="340">
        <v>3.5000000000000003E-2</v>
      </c>
    </row>
    <row r="86" spans="1:4" x14ac:dyDescent="0.3">
      <c r="A86">
        <v>25</v>
      </c>
      <c r="B86" s="21">
        <f t="shared" si="0"/>
        <v>0.03</v>
      </c>
      <c r="C86" s="21">
        <f t="shared" si="1"/>
        <v>0.04</v>
      </c>
      <c r="D86" s="340">
        <v>3.5000000000000003E-2</v>
      </c>
    </row>
    <row r="87" spans="1:4" x14ac:dyDescent="0.3">
      <c r="A87" s="20">
        <v>26</v>
      </c>
      <c r="B87" s="21">
        <f t="shared" si="0"/>
        <v>0.03</v>
      </c>
      <c r="C87" s="21">
        <f t="shared" si="1"/>
        <v>0.04</v>
      </c>
      <c r="D87" s="340">
        <v>3.5000000000000003E-2</v>
      </c>
    </row>
    <row r="88" spans="1:4" x14ac:dyDescent="0.3">
      <c r="A88" s="20">
        <v>27</v>
      </c>
      <c r="B88" s="21">
        <f t="shared" si="0"/>
        <v>0.03</v>
      </c>
      <c r="C88" s="21">
        <f t="shared" si="1"/>
        <v>0.04</v>
      </c>
      <c r="D88" s="340">
        <v>3.5000000000000003E-2</v>
      </c>
    </row>
    <row r="89" spans="1:4" x14ac:dyDescent="0.3">
      <c r="A89">
        <v>28</v>
      </c>
      <c r="B89" s="21">
        <f t="shared" si="0"/>
        <v>0.03</v>
      </c>
      <c r="C89" s="21">
        <f t="shared" si="1"/>
        <v>0.04</v>
      </c>
      <c r="D89" s="340">
        <v>3.5000000000000003E-2</v>
      </c>
    </row>
    <row r="90" spans="1:4" x14ac:dyDescent="0.3">
      <c r="A90">
        <v>29</v>
      </c>
      <c r="B90" s="21">
        <f t="shared" si="0"/>
        <v>0.03</v>
      </c>
      <c r="C90" s="21">
        <f t="shared" si="1"/>
        <v>0.04</v>
      </c>
      <c r="D90" s="340">
        <v>3.5000000000000003E-2</v>
      </c>
    </row>
    <row r="91" spans="1:4" x14ac:dyDescent="0.3">
      <c r="A91" s="20">
        <v>30</v>
      </c>
      <c r="B91" s="21">
        <f t="shared" si="0"/>
        <v>0.03</v>
      </c>
      <c r="C91" s="21">
        <f t="shared" si="1"/>
        <v>0.04</v>
      </c>
      <c r="D91" s="340">
        <v>3.5000000000000003E-2</v>
      </c>
    </row>
    <row r="92" spans="1:4" x14ac:dyDescent="0.3">
      <c r="A92" s="20">
        <v>31</v>
      </c>
      <c r="B92" s="21">
        <f t="shared" si="0"/>
        <v>0.03</v>
      </c>
      <c r="C92" s="21">
        <f t="shared" si="1"/>
        <v>0.04</v>
      </c>
      <c r="D92" s="340">
        <v>0.03</v>
      </c>
    </row>
    <row r="93" spans="1:4" x14ac:dyDescent="0.3">
      <c r="A93">
        <v>32</v>
      </c>
      <c r="B93" s="21">
        <f t="shared" si="0"/>
        <v>0.03</v>
      </c>
      <c r="C93" s="21">
        <f t="shared" si="1"/>
        <v>0.04</v>
      </c>
      <c r="D93" s="340">
        <v>0.03</v>
      </c>
    </row>
    <row r="94" spans="1:4" x14ac:dyDescent="0.3">
      <c r="A94">
        <v>33</v>
      </c>
      <c r="B94" s="21">
        <f t="shared" si="0"/>
        <v>0.03</v>
      </c>
      <c r="C94" s="21">
        <f t="shared" si="1"/>
        <v>0.04</v>
      </c>
      <c r="D94" s="340">
        <v>0.03</v>
      </c>
    </row>
    <row r="95" spans="1:4" x14ac:dyDescent="0.3">
      <c r="A95" s="20">
        <v>34</v>
      </c>
      <c r="B95" s="21">
        <f t="shared" si="0"/>
        <v>0.03</v>
      </c>
      <c r="C95" s="21">
        <f t="shared" si="1"/>
        <v>0.04</v>
      </c>
      <c r="D95" s="340">
        <v>0.03</v>
      </c>
    </row>
    <row r="96" spans="1:4" x14ac:dyDescent="0.3">
      <c r="A96" s="20">
        <v>35</v>
      </c>
      <c r="B96" s="21">
        <f t="shared" si="0"/>
        <v>0.03</v>
      </c>
      <c r="C96" s="21">
        <f t="shared" si="1"/>
        <v>0.04</v>
      </c>
      <c r="D96" s="340">
        <v>0.03</v>
      </c>
    </row>
    <row r="97" spans="1:4" x14ac:dyDescent="0.3">
      <c r="A97">
        <v>36</v>
      </c>
      <c r="B97" s="21">
        <f t="shared" si="0"/>
        <v>0.03</v>
      </c>
      <c r="C97" s="21">
        <f t="shared" si="1"/>
        <v>0.04</v>
      </c>
      <c r="D97" s="340">
        <v>0.03</v>
      </c>
    </row>
    <row r="98" spans="1:4" x14ac:dyDescent="0.3">
      <c r="A98">
        <v>37</v>
      </c>
      <c r="B98" s="21">
        <f t="shared" si="0"/>
        <v>0.03</v>
      </c>
      <c r="C98" s="21">
        <f t="shared" si="1"/>
        <v>0.04</v>
      </c>
      <c r="D98" s="340">
        <v>0.03</v>
      </c>
    </row>
    <row r="99" spans="1:4" x14ac:dyDescent="0.3">
      <c r="A99" s="20">
        <v>38</v>
      </c>
      <c r="B99" s="21">
        <f t="shared" si="0"/>
        <v>0.03</v>
      </c>
      <c r="C99" s="21">
        <f t="shared" si="1"/>
        <v>0.04</v>
      </c>
      <c r="D99" s="340">
        <v>0.03</v>
      </c>
    </row>
    <row r="100" spans="1:4" x14ac:dyDescent="0.3">
      <c r="A100" s="20">
        <v>39</v>
      </c>
      <c r="B100" s="21">
        <f t="shared" si="0"/>
        <v>0.03</v>
      </c>
      <c r="C100" s="21">
        <f t="shared" si="1"/>
        <v>0.04</v>
      </c>
      <c r="D100" s="340">
        <v>0.03</v>
      </c>
    </row>
    <row r="101" spans="1:4" x14ac:dyDescent="0.3">
      <c r="A101">
        <v>40</v>
      </c>
      <c r="B101" s="21">
        <f t="shared" si="0"/>
        <v>0.03</v>
      </c>
      <c r="C101" s="21">
        <f t="shared" si="1"/>
        <v>0.04</v>
      </c>
      <c r="D101" s="340">
        <v>0.03</v>
      </c>
    </row>
    <row r="102" spans="1:4" x14ac:dyDescent="0.3">
      <c r="A102">
        <v>41</v>
      </c>
      <c r="B102" s="21">
        <f t="shared" si="0"/>
        <v>0.03</v>
      </c>
      <c r="C102" s="21">
        <f t="shared" si="1"/>
        <v>0.04</v>
      </c>
      <c r="D102" s="340">
        <v>0.03</v>
      </c>
    </row>
    <row r="103" spans="1:4" x14ac:dyDescent="0.3">
      <c r="A103" s="20">
        <v>42</v>
      </c>
      <c r="B103" s="21">
        <f t="shared" si="0"/>
        <v>0.03</v>
      </c>
      <c r="C103" s="21">
        <f t="shared" si="1"/>
        <v>0.04</v>
      </c>
      <c r="D103" s="340">
        <v>0.03</v>
      </c>
    </row>
    <row r="104" spans="1:4" x14ac:dyDescent="0.3">
      <c r="A104" s="20">
        <v>43</v>
      </c>
      <c r="B104" s="21">
        <f t="shared" si="0"/>
        <v>0.03</v>
      </c>
      <c r="C104" s="21">
        <f t="shared" si="1"/>
        <v>0.04</v>
      </c>
      <c r="D104" s="340">
        <v>0.03</v>
      </c>
    </row>
    <row r="105" spans="1:4" x14ac:dyDescent="0.3">
      <c r="A105">
        <v>44</v>
      </c>
      <c r="B105" s="21">
        <f t="shared" si="0"/>
        <v>0.03</v>
      </c>
      <c r="C105" s="21">
        <f t="shared" si="1"/>
        <v>0.04</v>
      </c>
      <c r="D105" s="340">
        <v>0.03</v>
      </c>
    </row>
    <row r="106" spans="1:4" x14ac:dyDescent="0.3">
      <c r="A106">
        <v>45</v>
      </c>
      <c r="B106" s="21">
        <f t="shared" si="0"/>
        <v>0.03</v>
      </c>
      <c r="C106" s="21">
        <f t="shared" si="1"/>
        <v>0.04</v>
      </c>
      <c r="D106" s="340">
        <v>0.03</v>
      </c>
    </row>
    <row r="107" spans="1:4" x14ac:dyDescent="0.3">
      <c r="A107" s="20">
        <v>46</v>
      </c>
      <c r="B107" s="21">
        <f t="shared" si="0"/>
        <v>0.03</v>
      </c>
      <c r="C107" s="21">
        <f t="shared" si="1"/>
        <v>0.04</v>
      </c>
      <c r="D107" s="340">
        <v>0.03</v>
      </c>
    </row>
    <row r="108" spans="1:4" x14ac:dyDescent="0.3">
      <c r="A108" s="20">
        <v>47</v>
      </c>
      <c r="B108" s="21">
        <f t="shared" si="0"/>
        <v>0.03</v>
      </c>
      <c r="C108" s="21">
        <f t="shared" si="1"/>
        <v>0.04</v>
      </c>
      <c r="D108" s="340">
        <v>0.03</v>
      </c>
    </row>
    <row r="109" spans="1:4" x14ac:dyDescent="0.3">
      <c r="A109">
        <v>48</v>
      </c>
      <c r="B109" s="21">
        <f t="shared" si="0"/>
        <v>0.03</v>
      </c>
      <c r="C109" s="21">
        <f t="shared" si="1"/>
        <v>0.04</v>
      </c>
      <c r="D109" s="340">
        <v>0.03</v>
      </c>
    </row>
    <row r="110" spans="1:4" x14ac:dyDescent="0.3">
      <c r="A110">
        <v>49</v>
      </c>
      <c r="B110" s="21">
        <f t="shared" si="0"/>
        <v>0.03</v>
      </c>
      <c r="C110" s="21">
        <f t="shared" si="1"/>
        <v>0.04</v>
      </c>
      <c r="D110" s="340">
        <v>0.03</v>
      </c>
    </row>
    <row r="111" spans="1:4" x14ac:dyDescent="0.3">
      <c r="A111" s="20">
        <v>50</v>
      </c>
      <c r="B111" s="21">
        <f t="shared" si="0"/>
        <v>0.03</v>
      </c>
      <c r="C111" s="21">
        <f t="shared" si="1"/>
        <v>0.04</v>
      </c>
      <c r="D111" s="340">
        <v>0.03</v>
      </c>
    </row>
    <row r="112" spans="1:4" x14ac:dyDescent="0.3">
      <c r="A112" s="20">
        <v>51</v>
      </c>
      <c r="B112" s="21">
        <f t="shared" si="0"/>
        <v>0.03</v>
      </c>
      <c r="C112" s="21">
        <f t="shared" si="1"/>
        <v>0.04</v>
      </c>
      <c r="D112" s="340">
        <v>0.03</v>
      </c>
    </row>
    <row r="113" spans="1:4" x14ac:dyDescent="0.3">
      <c r="A113">
        <v>52</v>
      </c>
      <c r="B113" s="21">
        <f t="shared" si="0"/>
        <v>0.03</v>
      </c>
      <c r="C113" s="21">
        <f t="shared" si="1"/>
        <v>0.04</v>
      </c>
      <c r="D113" s="340">
        <v>0.03</v>
      </c>
    </row>
    <row r="114" spans="1:4" x14ac:dyDescent="0.3">
      <c r="A114">
        <v>53</v>
      </c>
      <c r="B114" s="21">
        <f t="shared" si="0"/>
        <v>0.03</v>
      </c>
      <c r="C114" s="21">
        <f t="shared" si="1"/>
        <v>0.04</v>
      </c>
      <c r="D114" s="340">
        <v>0.03</v>
      </c>
    </row>
    <row r="115" spans="1:4" x14ac:dyDescent="0.3">
      <c r="A115" s="20">
        <v>54</v>
      </c>
      <c r="B115" s="21">
        <f t="shared" si="0"/>
        <v>0.03</v>
      </c>
      <c r="C115" s="21">
        <f t="shared" si="1"/>
        <v>0.04</v>
      </c>
      <c r="D115" s="340">
        <v>0.03</v>
      </c>
    </row>
    <row r="116" spans="1:4" x14ac:dyDescent="0.3">
      <c r="A116" s="20">
        <v>55</v>
      </c>
      <c r="B116" s="21">
        <f t="shared" si="0"/>
        <v>0.03</v>
      </c>
      <c r="C116" s="21">
        <f t="shared" si="1"/>
        <v>0.04</v>
      </c>
      <c r="D116" s="340">
        <v>0.03</v>
      </c>
    </row>
    <row r="117" spans="1:4" x14ac:dyDescent="0.3">
      <c r="A117">
        <v>56</v>
      </c>
      <c r="B117" s="21">
        <f t="shared" si="0"/>
        <v>0.03</v>
      </c>
      <c r="C117" s="21">
        <f t="shared" si="1"/>
        <v>0.04</v>
      </c>
      <c r="D117" s="340">
        <v>0.03</v>
      </c>
    </row>
    <row r="118" spans="1:4" x14ac:dyDescent="0.3">
      <c r="A118">
        <v>57</v>
      </c>
      <c r="B118" s="21">
        <f t="shared" si="0"/>
        <v>0.03</v>
      </c>
      <c r="C118" s="21">
        <f t="shared" si="1"/>
        <v>0.04</v>
      </c>
      <c r="D118" s="340">
        <v>0.03</v>
      </c>
    </row>
    <row r="119" spans="1:4" x14ac:dyDescent="0.3">
      <c r="A119" s="20">
        <v>58</v>
      </c>
      <c r="B119" s="21">
        <f t="shared" si="0"/>
        <v>0.03</v>
      </c>
      <c r="C119" s="21">
        <f t="shared" si="1"/>
        <v>0.04</v>
      </c>
      <c r="D119" s="340">
        <v>0.03</v>
      </c>
    </row>
    <row r="120" spans="1:4" x14ac:dyDescent="0.3">
      <c r="A120" s="20">
        <v>59</v>
      </c>
      <c r="B120" s="21">
        <f t="shared" si="0"/>
        <v>0.03</v>
      </c>
      <c r="C120" s="21">
        <f t="shared" si="1"/>
        <v>0.04</v>
      </c>
      <c r="D120" s="340">
        <v>0.03</v>
      </c>
    </row>
    <row r="121" spans="1:4" x14ac:dyDescent="0.3">
      <c r="A121">
        <v>60</v>
      </c>
      <c r="B121" s="21">
        <f t="shared" si="0"/>
        <v>0.03</v>
      </c>
      <c r="C121" s="21">
        <f t="shared" si="1"/>
        <v>0.04</v>
      </c>
      <c r="D121" s="340">
        <v>0.03</v>
      </c>
    </row>
    <row r="122" spans="1:4" x14ac:dyDescent="0.3">
      <c r="A122">
        <v>61</v>
      </c>
      <c r="B122" s="21">
        <f t="shared" si="0"/>
        <v>0.03</v>
      </c>
      <c r="C122" s="21">
        <f t="shared" si="1"/>
        <v>0.04</v>
      </c>
      <c r="D122" s="340">
        <v>0.03</v>
      </c>
    </row>
    <row r="123" spans="1:4" x14ac:dyDescent="0.3">
      <c r="A123" s="20">
        <v>62</v>
      </c>
      <c r="B123" s="21">
        <f t="shared" si="0"/>
        <v>0.03</v>
      </c>
      <c r="C123" s="21">
        <f t="shared" si="1"/>
        <v>0.04</v>
      </c>
      <c r="D123" s="340">
        <v>0.03</v>
      </c>
    </row>
    <row r="124" spans="1:4" x14ac:dyDescent="0.3">
      <c r="A124" s="20">
        <v>63</v>
      </c>
      <c r="B124" s="21">
        <f t="shared" si="0"/>
        <v>0.03</v>
      </c>
      <c r="C124" s="21">
        <f t="shared" si="1"/>
        <v>0.04</v>
      </c>
      <c r="D124" s="340">
        <v>0.03</v>
      </c>
    </row>
    <row r="125" spans="1:4" x14ac:dyDescent="0.3">
      <c r="A125">
        <v>64</v>
      </c>
      <c r="B125" s="21">
        <f t="shared" si="0"/>
        <v>0.03</v>
      </c>
      <c r="C125" s="21">
        <f t="shared" si="1"/>
        <v>0.04</v>
      </c>
      <c r="D125" s="340">
        <v>0.03</v>
      </c>
    </row>
    <row r="126" spans="1:4" x14ac:dyDescent="0.3">
      <c r="A126">
        <v>65</v>
      </c>
      <c r="B126" s="21">
        <f t="shared" ref="B126:B160" si="2">B125</f>
        <v>0.03</v>
      </c>
      <c r="C126" s="21">
        <f t="shared" ref="C126:C160" si="3">C125</f>
        <v>0.04</v>
      </c>
      <c r="D126" s="340">
        <v>0.03</v>
      </c>
    </row>
    <row r="127" spans="1:4" x14ac:dyDescent="0.3">
      <c r="A127" s="20">
        <v>66</v>
      </c>
      <c r="B127" s="21">
        <f t="shared" si="2"/>
        <v>0.03</v>
      </c>
      <c r="C127" s="21">
        <f t="shared" si="3"/>
        <v>0.04</v>
      </c>
      <c r="D127" s="340">
        <v>0.03</v>
      </c>
    </row>
    <row r="128" spans="1:4" x14ac:dyDescent="0.3">
      <c r="A128" s="20">
        <v>67</v>
      </c>
      <c r="B128" s="21">
        <f t="shared" si="2"/>
        <v>0.03</v>
      </c>
      <c r="C128" s="21">
        <f t="shared" si="3"/>
        <v>0.04</v>
      </c>
      <c r="D128" s="340">
        <v>0.03</v>
      </c>
    </row>
    <row r="129" spans="1:4" x14ac:dyDescent="0.3">
      <c r="A129">
        <v>68</v>
      </c>
      <c r="B129" s="21">
        <f t="shared" si="2"/>
        <v>0.03</v>
      </c>
      <c r="C129" s="21">
        <f t="shared" si="3"/>
        <v>0.04</v>
      </c>
      <c r="D129" s="340">
        <v>0.03</v>
      </c>
    </row>
    <row r="130" spans="1:4" x14ac:dyDescent="0.3">
      <c r="A130">
        <v>69</v>
      </c>
      <c r="B130" s="21">
        <f t="shared" si="2"/>
        <v>0.03</v>
      </c>
      <c r="C130" s="21">
        <f t="shared" si="3"/>
        <v>0.04</v>
      </c>
      <c r="D130" s="340">
        <v>0.03</v>
      </c>
    </row>
    <row r="131" spans="1:4" x14ac:dyDescent="0.3">
      <c r="A131" s="20">
        <v>70</v>
      </c>
      <c r="B131" s="21">
        <f t="shared" si="2"/>
        <v>0.03</v>
      </c>
      <c r="C131" s="21">
        <f t="shared" si="3"/>
        <v>0.04</v>
      </c>
      <c r="D131" s="340">
        <v>0.03</v>
      </c>
    </row>
    <row r="132" spans="1:4" x14ac:dyDescent="0.3">
      <c r="A132" s="20">
        <v>71</v>
      </c>
      <c r="B132" s="21">
        <f t="shared" si="2"/>
        <v>0.03</v>
      </c>
      <c r="C132" s="21">
        <f t="shared" si="3"/>
        <v>0.04</v>
      </c>
      <c r="D132" s="340">
        <v>0.03</v>
      </c>
    </row>
    <row r="133" spans="1:4" x14ac:dyDescent="0.3">
      <c r="A133">
        <v>72</v>
      </c>
      <c r="B133" s="21">
        <f t="shared" si="2"/>
        <v>0.03</v>
      </c>
      <c r="C133" s="21">
        <f t="shared" si="3"/>
        <v>0.04</v>
      </c>
      <c r="D133" s="340">
        <v>0.03</v>
      </c>
    </row>
    <row r="134" spans="1:4" x14ac:dyDescent="0.3">
      <c r="A134">
        <v>73</v>
      </c>
      <c r="B134" s="21">
        <f t="shared" si="2"/>
        <v>0.03</v>
      </c>
      <c r="C134" s="21">
        <f t="shared" si="3"/>
        <v>0.04</v>
      </c>
      <c r="D134" s="340">
        <v>0.03</v>
      </c>
    </row>
    <row r="135" spans="1:4" x14ac:dyDescent="0.3">
      <c r="A135" s="20">
        <v>74</v>
      </c>
      <c r="B135" s="21">
        <f t="shared" si="2"/>
        <v>0.03</v>
      </c>
      <c r="C135" s="21">
        <f t="shared" si="3"/>
        <v>0.04</v>
      </c>
      <c r="D135" s="340">
        <v>0.03</v>
      </c>
    </row>
    <row r="136" spans="1:4" x14ac:dyDescent="0.3">
      <c r="A136" s="20">
        <v>75</v>
      </c>
      <c r="B136" s="21">
        <f t="shared" si="2"/>
        <v>0.03</v>
      </c>
      <c r="C136" s="21">
        <f t="shared" si="3"/>
        <v>0.04</v>
      </c>
      <c r="D136" s="340">
        <v>0.03</v>
      </c>
    </row>
    <row r="137" spans="1:4" x14ac:dyDescent="0.3">
      <c r="A137">
        <v>76</v>
      </c>
      <c r="B137" s="21">
        <f t="shared" si="2"/>
        <v>0.03</v>
      </c>
      <c r="C137" s="21">
        <f t="shared" si="3"/>
        <v>0.04</v>
      </c>
      <c r="D137" s="340">
        <v>2.5000000000000001E-2</v>
      </c>
    </row>
    <row r="138" spans="1:4" x14ac:dyDescent="0.3">
      <c r="A138">
        <v>77</v>
      </c>
      <c r="B138" s="21">
        <f t="shared" si="2"/>
        <v>0.03</v>
      </c>
      <c r="C138" s="21">
        <f t="shared" si="3"/>
        <v>0.04</v>
      </c>
      <c r="D138" s="340">
        <v>2.5000000000000001E-2</v>
      </c>
    </row>
    <row r="139" spans="1:4" x14ac:dyDescent="0.3">
      <c r="A139" s="20">
        <v>78</v>
      </c>
      <c r="B139" s="21">
        <f t="shared" si="2"/>
        <v>0.03</v>
      </c>
      <c r="C139" s="21">
        <f t="shared" si="3"/>
        <v>0.04</v>
      </c>
      <c r="D139" s="340">
        <v>2.5000000000000001E-2</v>
      </c>
    </row>
    <row r="140" spans="1:4" x14ac:dyDescent="0.3">
      <c r="A140" s="20">
        <v>79</v>
      </c>
      <c r="B140" s="21">
        <f t="shared" si="2"/>
        <v>0.03</v>
      </c>
      <c r="C140" s="21">
        <f t="shared" si="3"/>
        <v>0.04</v>
      </c>
      <c r="D140" s="340">
        <v>2.5000000000000001E-2</v>
      </c>
    </row>
    <row r="141" spans="1:4" x14ac:dyDescent="0.3">
      <c r="A141">
        <v>80</v>
      </c>
      <c r="B141" s="21">
        <f t="shared" si="2"/>
        <v>0.03</v>
      </c>
      <c r="C141" s="21">
        <f t="shared" si="3"/>
        <v>0.04</v>
      </c>
      <c r="D141" s="340">
        <v>2.5000000000000001E-2</v>
      </c>
    </row>
    <row r="142" spans="1:4" x14ac:dyDescent="0.3">
      <c r="A142">
        <v>81</v>
      </c>
      <c r="B142" s="21">
        <f t="shared" si="2"/>
        <v>0.03</v>
      </c>
      <c r="C142" s="21">
        <f t="shared" si="3"/>
        <v>0.04</v>
      </c>
      <c r="D142" s="340">
        <v>2.5000000000000001E-2</v>
      </c>
    </row>
    <row r="143" spans="1:4" x14ac:dyDescent="0.3">
      <c r="A143" s="20">
        <v>82</v>
      </c>
      <c r="B143" s="21">
        <f t="shared" si="2"/>
        <v>0.03</v>
      </c>
      <c r="C143" s="21">
        <f t="shared" si="3"/>
        <v>0.04</v>
      </c>
      <c r="D143" s="340">
        <v>2.5000000000000001E-2</v>
      </c>
    </row>
    <row r="144" spans="1:4" x14ac:dyDescent="0.3">
      <c r="A144" s="20">
        <v>83</v>
      </c>
      <c r="B144" s="21">
        <f t="shared" si="2"/>
        <v>0.03</v>
      </c>
      <c r="C144" s="21">
        <f t="shared" si="3"/>
        <v>0.04</v>
      </c>
      <c r="D144" s="340">
        <v>2.5000000000000001E-2</v>
      </c>
    </row>
    <row r="145" spans="1:4" x14ac:dyDescent="0.3">
      <c r="A145">
        <v>84</v>
      </c>
      <c r="B145" s="21">
        <f t="shared" si="2"/>
        <v>0.03</v>
      </c>
      <c r="C145" s="21">
        <f t="shared" si="3"/>
        <v>0.04</v>
      </c>
      <c r="D145" s="340">
        <v>2.5000000000000001E-2</v>
      </c>
    </row>
    <row r="146" spans="1:4" x14ac:dyDescent="0.3">
      <c r="A146">
        <v>85</v>
      </c>
      <c r="B146" s="21">
        <f t="shared" si="2"/>
        <v>0.03</v>
      </c>
      <c r="C146" s="21">
        <f t="shared" si="3"/>
        <v>0.04</v>
      </c>
      <c r="D146" s="340">
        <v>2.5000000000000001E-2</v>
      </c>
    </row>
    <row r="147" spans="1:4" x14ac:dyDescent="0.3">
      <c r="A147" s="20">
        <v>86</v>
      </c>
      <c r="B147" s="21">
        <f t="shared" si="2"/>
        <v>0.03</v>
      </c>
      <c r="C147" s="21">
        <f t="shared" si="3"/>
        <v>0.04</v>
      </c>
      <c r="D147" s="340">
        <v>2.5000000000000001E-2</v>
      </c>
    </row>
    <row r="148" spans="1:4" x14ac:dyDescent="0.3">
      <c r="A148" s="20">
        <v>87</v>
      </c>
      <c r="B148" s="21">
        <f t="shared" si="2"/>
        <v>0.03</v>
      </c>
      <c r="C148" s="21">
        <f t="shared" si="3"/>
        <v>0.04</v>
      </c>
      <c r="D148" s="340">
        <v>2.5000000000000001E-2</v>
      </c>
    </row>
    <row r="149" spans="1:4" x14ac:dyDescent="0.3">
      <c r="A149">
        <v>88</v>
      </c>
      <c r="B149" s="21">
        <f t="shared" si="2"/>
        <v>0.03</v>
      </c>
      <c r="C149" s="21">
        <f t="shared" si="3"/>
        <v>0.04</v>
      </c>
      <c r="D149" s="340">
        <v>2.5000000000000001E-2</v>
      </c>
    </row>
    <row r="150" spans="1:4" x14ac:dyDescent="0.3">
      <c r="A150">
        <v>89</v>
      </c>
      <c r="B150" s="21">
        <f t="shared" si="2"/>
        <v>0.03</v>
      </c>
      <c r="C150" s="21">
        <f t="shared" si="3"/>
        <v>0.04</v>
      </c>
      <c r="D150" s="340">
        <v>2.5000000000000001E-2</v>
      </c>
    </row>
    <row r="151" spans="1:4" x14ac:dyDescent="0.3">
      <c r="A151" s="20">
        <v>90</v>
      </c>
      <c r="B151" s="21">
        <f t="shared" si="2"/>
        <v>0.03</v>
      </c>
      <c r="C151" s="21">
        <f t="shared" si="3"/>
        <v>0.04</v>
      </c>
      <c r="D151" s="340">
        <v>2.5000000000000001E-2</v>
      </c>
    </row>
    <row r="152" spans="1:4" x14ac:dyDescent="0.3">
      <c r="A152" s="20">
        <v>91</v>
      </c>
      <c r="B152" s="21">
        <f t="shared" si="2"/>
        <v>0.03</v>
      </c>
      <c r="C152" s="21">
        <f t="shared" si="3"/>
        <v>0.04</v>
      </c>
      <c r="D152" s="340">
        <v>2.5000000000000001E-2</v>
      </c>
    </row>
    <row r="153" spans="1:4" x14ac:dyDescent="0.3">
      <c r="A153">
        <v>92</v>
      </c>
      <c r="B153" s="21">
        <f t="shared" si="2"/>
        <v>0.03</v>
      </c>
      <c r="C153" s="21">
        <f t="shared" si="3"/>
        <v>0.04</v>
      </c>
      <c r="D153" s="340">
        <v>2.5000000000000001E-2</v>
      </c>
    </row>
    <row r="154" spans="1:4" x14ac:dyDescent="0.3">
      <c r="A154">
        <v>93</v>
      </c>
      <c r="B154" s="21">
        <f t="shared" si="2"/>
        <v>0.03</v>
      </c>
      <c r="C154" s="21">
        <f t="shared" si="3"/>
        <v>0.04</v>
      </c>
      <c r="D154" s="340">
        <v>2.5000000000000001E-2</v>
      </c>
    </row>
    <row r="155" spans="1:4" x14ac:dyDescent="0.3">
      <c r="A155" s="20">
        <v>94</v>
      </c>
      <c r="B155" s="21">
        <f t="shared" si="2"/>
        <v>0.03</v>
      </c>
      <c r="C155" s="21">
        <f t="shared" si="3"/>
        <v>0.04</v>
      </c>
      <c r="D155" s="340">
        <v>2.5000000000000001E-2</v>
      </c>
    </row>
    <row r="156" spans="1:4" x14ac:dyDescent="0.3">
      <c r="A156" s="20">
        <v>95</v>
      </c>
      <c r="B156" s="21">
        <f t="shared" si="2"/>
        <v>0.03</v>
      </c>
      <c r="C156" s="21">
        <f t="shared" si="3"/>
        <v>0.04</v>
      </c>
      <c r="D156" s="340">
        <v>2.5000000000000001E-2</v>
      </c>
    </row>
    <row r="157" spans="1:4" x14ac:dyDescent="0.3">
      <c r="A157">
        <v>96</v>
      </c>
      <c r="B157" s="21">
        <f t="shared" si="2"/>
        <v>0.03</v>
      </c>
      <c r="C157" s="21">
        <f t="shared" si="3"/>
        <v>0.04</v>
      </c>
      <c r="D157" s="340">
        <v>2.5000000000000001E-2</v>
      </c>
    </row>
    <row r="158" spans="1:4" x14ac:dyDescent="0.3">
      <c r="A158">
        <v>97</v>
      </c>
      <c r="B158" s="21">
        <f t="shared" si="2"/>
        <v>0.03</v>
      </c>
      <c r="C158" s="21">
        <f t="shared" si="3"/>
        <v>0.04</v>
      </c>
      <c r="D158" s="340">
        <v>2.5000000000000001E-2</v>
      </c>
    </row>
    <row r="159" spans="1:4" x14ac:dyDescent="0.3">
      <c r="A159" s="20">
        <v>98</v>
      </c>
      <c r="B159" s="21">
        <f t="shared" si="2"/>
        <v>0.03</v>
      </c>
      <c r="C159" s="21">
        <f t="shared" si="3"/>
        <v>0.04</v>
      </c>
      <c r="D159" s="340">
        <v>2.5000000000000001E-2</v>
      </c>
    </row>
    <row r="160" spans="1:4" x14ac:dyDescent="0.3">
      <c r="A160" s="20">
        <v>99</v>
      </c>
      <c r="B160" s="21">
        <f t="shared" si="2"/>
        <v>0.03</v>
      </c>
      <c r="C160" s="21">
        <f t="shared" si="3"/>
        <v>0.04</v>
      </c>
      <c r="D160" s="340">
        <v>2.5000000000000001E-2</v>
      </c>
    </row>
  </sheetData>
  <mergeCells count="1">
    <mergeCell ref="U1:W1"/>
  </mergeCells>
  <dataValidations disablePrompts="1" count="1">
    <dataValidation type="list" allowBlank="1" showInputMessage="1" showErrorMessage="1" sqref="J4" xr:uid="{00000000-0002-0000-0700-000000000000}">
      <formula1>"YES, NO"</formula1>
    </dataValidation>
  </dataValidations>
  <pageMargins left="0.7" right="0.7" top="0.75" bottom="0.75" header="0.3" footer="0.3"/>
  <pageSetup paperSize="9" orientation="portrait" horizontalDpi="90" verticalDpi="9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Introduction</vt:lpstr>
      <vt:lpstr>Data Entry</vt:lpstr>
      <vt:lpstr>Cashflow</vt:lpstr>
      <vt:lpstr>Results</vt:lpstr>
      <vt:lpstr>FAQs</vt:lpstr>
      <vt:lpstr>Income Data</vt:lpstr>
      <vt:lpstr>Cost Data</vt:lpstr>
      <vt:lpstr>Income Forgone and BPS data</vt:lpstr>
      <vt:lpstr>Lookup Tables</vt:lpstr>
      <vt:lpstr>Disclaimer</vt:lpstr>
      <vt:lpstr>Version Control</vt:lpstr>
      <vt:lpstr>England</vt:lpstr>
      <vt:lpstr>Northern_Ireland</vt:lpstr>
      <vt:lpstr>Scotland</vt:lpstr>
      <vt:lpstr>Select_Farm_Type</vt:lpstr>
      <vt:lpstr>VERSION_1</vt:lpstr>
      <vt:lpstr>VERSION_1_COSTS</vt:lpstr>
      <vt:lpstr>VERSION_2</vt:lpstr>
      <vt:lpstr>VERSION_2_COSTS</vt:lpstr>
      <vt:lpstr>VERSION_3</vt:lpstr>
      <vt:lpstr>VERSION_3_COSTS</vt:lpstr>
      <vt:lpstr>Wales</vt:lpstr>
    </vt:vector>
  </TitlesOfParts>
  <Company>Forestry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Authenticated User</dc:creator>
  <cp:lastModifiedBy>Andrew Baker</cp:lastModifiedBy>
  <cp:lastPrinted>2013-07-26T13:54:53Z</cp:lastPrinted>
  <dcterms:created xsi:type="dcterms:W3CDTF">2013-07-02T11:45:37Z</dcterms:created>
  <dcterms:modified xsi:type="dcterms:W3CDTF">2025-04-29T08:16:53Z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